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web0603\Desktop\Új mappa\MATE MÁB\engedélykérő csomag\"/>
    </mc:Choice>
  </mc:AlternateContent>
  <xr:revisionPtr revIDLastSave="0" documentId="8_{8ED38E23-E2B7-415C-A784-46C60A233FD1}" xr6:coauthVersionLast="47" xr6:coauthVersionMax="47" xr10:uidLastSave="{00000000-0000-0000-0000-000000000000}"/>
  <bookViews>
    <workbookView xWindow="-108" yWindow="-108" windowWidth="23256" windowHeight="12576" tabRatio="500" xr2:uid="{00000000-000D-0000-FFFF-FFFF00000000}"/>
  </bookViews>
  <sheets>
    <sheet name="NTS" sheetId="1" r:id="rId1"/>
    <sheet name="Purpose of the project" sheetId="2" r:id="rId2"/>
    <sheet name="Expected harms" sheetId="3" r:id="rId3"/>
    <sheet name="Fate of animals kept alive" sheetId="4" r:id="rId4"/>
    <sheet name="Translations" sheetId="5" state="hidden" r:id="rId5"/>
    <sheet name="Configuration" sheetId="6" state="hidden" r:id="rId6"/>
  </sheets>
  <definedNames>
    <definedName name="_xlnm._FilterDatabase" localSheetId="0">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B110" i="5" l="1"/>
  <c r="AA110" i="5"/>
  <c r="Z110" i="5"/>
  <c r="Y110" i="5"/>
  <c r="X110" i="5"/>
  <c r="W110" i="5"/>
  <c r="V110" i="5"/>
  <c r="U110" i="5"/>
  <c r="T110" i="5"/>
  <c r="S110" i="5"/>
  <c r="R110" i="5"/>
  <c r="Q110" i="5"/>
  <c r="P110" i="5"/>
  <c r="O110" i="5"/>
  <c r="N110" i="5"/>
  <c r="M110" i="5"/>
  <c r="L110" i="5"/>
  <c r="K110" i="5"/>
  <c r="J110" i="5"/>
  <c r="I110" i="5"/>
  <c r="H110" i="5"/>
  <c r="G110" i="5"/>
  <c r="F110" i="5"/>
  <c r="E110" i="5"/>
  <c r="D110" i="5"/>
  <c r="AB66" i="5"/>
  <c r="AA66" i="5"/>
  <c r="Z66" i="5"/>
  <c r="Y66" i="5"/>
  <c r="X66" i="5"/>
  <c r="W66" i="5"/>
  <c r="V66" i="5"/>
  <c r="U66" i="5"/>
  <c r="T66" i="5"/>
  <c r="S66" i="5"/>
  <c r="R66" i="5"/>
  <c r="Q66" i="5"/>
  <c r="P66" i="5"/>
  <c r="O66" i="5"/>
  <c r="N66" i="5"/>
  <c r="M66" i="5"/>
  <c r="L66" i="5"/>
  <c r="K66" i="5"/>
  <c r="J66" i="5"/>
  <c r="I66" i="5"/>
  <c r="H66" i="5"/>
  <c r="G66" i="5"/>
  <c r="F66" i="5"/>
  <c r="E66" i="5"/>
  <c r="D66" i="5"/>
  <c r="AB62" i="5"/>
  <c r="AA62" i="5"/>
  <c r="Z62" i="5"/>
  <c r="Y62" i="5"/>
  <c r="X62" i="5"/>
  <c r="W62" i="5"/>
  <c r="V62" i="5"/>
  <c r="U62" i="5"/>
  <c r="T62" i="5"/>
  <c r="S62" i="5"/>
  <c r="R62" i="5"/>
  <c r="Q62" i="5"/>
  <c r="P62" i="5"/>
  <c r="O62" i="5"/>
  <c r="N62" i="5"/>
  <c r="M62" i="5"/>
  <c r="L62" i="5"/>
  <c r="K62" i="5"/>
  <c r="J62" i="5"/>
  <c r="I62" i="5"/>
  <c r="H62" i="5"/>
  <c r="G62" i="5"/>
  <c r="F62" i="5"/>
  <c r="E62" i="5"/>
  <c r="D62" i="5"/>
  <c r="AB16" i="5"/>
  <c r="AA16" i="5"/>
  <c r="Z16" i="5"/>
  <c r="Y16" i="5"/>
  <c r="X16" i="5"/>
  <c r="W16" i="5"/>
  <c r="V16" i="5"/>
  <c r="U16" i="5"/>
  <c r="T16" i="5"/>
  <c r="S16" i="5"/>
  <c r="R16" i="5"/>
  <c r="Q16" i="5"/>
  <c r="P16" i="5"/>
  <c r="O16" i="5"/>
  <c r="N16" i="5"/>
  <c r="M16" i="5"/>
  <c r="L16" i="5"/>
  <c r="K16" i="5"/>
  <c r="J16" i="5"/>
  <c r="I16" i="5"/>
  <c r="H16" i="5"/>
  <c r="G16" i="5"/>
  <c r="F16" i="5"/>
  <c r="E16" i="5"/>
  <c r="D16" i="5"/>
  <c r="AB4" i="5"/>
  <c r="AA4" i="5"/>
  <c r="Z4" i="5"/>
  <c r="Y4" i="5"/>
  <c r="X4" i="5"/>
  <c r="W4" i="5"/>
  <c r="V4" i="5"/>
  <c r="U4" i="5"/>
  <c r="T4" i="5"/>
  <c r="S4" i="5"/>
  <c r="R4" i="5"/>
  <c r="Q4" i="5"/>
  <c r="P4" i="5"/>
  <c r="O4" i="5"/>
  <c r="N4" i="5"/>
  <c r="M4" i="5"/>
  <c r="L4" i="5"/>
  <c r="K4" i="5"/>
  <c r="J4" i="5"/>
  <c r="I4" i="5"/>
  <c r="H4" i="5"/>
  <c r="G4" i="5"/>
  <c r="F4" i="5"/>
  <c r="E4" i="5"/>
  <c r="D4" i="5"/>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F7" i="4"/>
  <c r="E7" i="4"/>
  <c r="F6" i="4"/>
  <c r="E6" i="4"/>
  <c r="F5" i="4"/>
  <c r="E5" i="4"/>
  <c r="F4" i="4"/>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B60" i="1"/>
  <c r="B59" i="1"/>
  <c r="B58" i="1"/>
  <c r="B57" i="1"/>
  <c r="B56" i="1"/>
  <c r="B55" i="1"/>
  <c r="B54" i="1"/>
  <c r="B53" i="1"/>
  <c r="B52" i="1"/>
  <c r="B51" i="1"/>
  <c r="B50" i="1"/>
  <c r="B49" i="1"/>
  <c r="B47" i="1"/>
  <c r="B45" i="1"/>
  <c r="G47" i="1" s="1"/>
  <c r="B44" i="1"/>
  <c r="B43" i="1"/>
  <c r="B41" i="1"/>
  <c r="B40" i="1"/>
  <c r="G42" i="1" s="1"/>
  <c r="B38" i="1"/>
  <c r="B36" i="1"/>
  <c r="B34" i="1"/>
  <c r="B32" i="1"/>
  <c r="B29" i="1"/>
  <c r="B25" i="1"/>
  <c r="B23" i="1"/>
  <c r="B20" i="1"/>
  <c r="B18" i="1"/>
  <c r="B14" i="1"/>
  <c r="B13" i="1"/>
  <c r="B12" i="1"/>
  <c r="B11" i="1"/>
  <c r="B10" i="1"/>
  <c r="B8" i="1"/>
  <c r="B7" i="1"/>
  <c r="B6" i="1"/>
  <c r="B5" i="1"/>
  <c r="B4" i="1"/>
  <c r="B3" i="1"/>
  <c r="B2" i="6" s="1"/>
  <c r="B2" i="1"/>
  <c r="B28" i="5" l="1"/>
  <c r="I47" i="1"/>
  <c r="E40" i="1"/>
  <c r="I42" i="1"/>
  <c r="B14" i="5"/>
  <c r="C59" i="5" s="1"/>
  <c r="B20" i="5"/>
  <c r="C45" i="1"/>
  <c r="B24" i="5"/>
  <c r="B8" i="6"/>
  <c r="G56" i="1" s="1"/>
  <c r="B7" i="6"/>
  <c r="B6" i="6"/>
  <c r="G40" i="1" s="1"/>
  <c r="I40" i="1" s="1"/>
  <c r="B224" i="5"/>
  <c r="B216" i="5"/>
  <c r="B208" i="5"/>
  <c r="B200" i="5"/>
  <c r="C55" i="1" s="1"/>
  <c r="B192" i="5"/>
  <c r="B184" i="5"/>
  <c r="B1" i="4" s="1"/>
  <c r="B176" i="5"/>
  <c r="H25" i="1" s="1"/>
  <c r="B168" i="5"/>
  <c r="E2" i="3" s="1"/>
  <c r="B160" i="5"/>
  <c r="I39" i="1" s="1"/>
  <c r="B152" i="5"/>
  <c r="D43" i="1" s="1"/>
  <c r="B144" i="5"/>
  <c r="C31" i="1" s="1"/>
  <c r="B136" i="5"/>
  <c r="C19" i="1" s="1"/>
  <c r="B128" i="5"/>
  <c r="B120" i="5"/>
  <c r="B112" i="5"/>
  <c r="C3" i="1" s="1"/>
  <c r="B106" i="5"/>
  <c r="C106" i="5" s="1"/>
  <c r="B102" i="5"/>
  <c r="C102" i="5" s="1"/>
  <c r="B98" i="5"/>
  <c r="C98" i="5" s="1"/>
  <c r="B94" i="5"/>
  <c r="C94" i="5" s="1"/>
  <c r="B90" i="5"/>
  <c r="C90" i="5" s="1"/>
  <c r="B86" i="5"/>
  <c r="C86" i="5" s="1"/>
  <c r="B82" i="5"/>
  <c r="C82" i="5" s="1"/>
  <c r="B78" i="5"/>
  <c r="C78" i="5" s="1"/>
  <c r="B74" i="5"/>
  <c r="C74" i="5" s="1"/>
  <c r="B70" i="5"/>
  <c r="C70" i="5" s="1"/>
  <c r="B11" i="5"/>
  <c r="C56" i="5" s="1"/>
  <c r="B220" i="5"/>
  <c r="F2" i="3" s="1"/>
  <c r="B156" i="5"/>
  <c r="B116" i="5"/>
  <c r="C9" i="1" s="1"/>
  <c r="B100" i="5"/>
  <c r="C100" i="5" s="1"/>
  <c r="B88" i="5"/>
  <c r="C88" i="5" s="1"/>
  <c r="B72" i="5"/>
  <c r="C72" i="5" s="1"/>
  <c r="B211" i="5"/>
  <c r="B179" i="5"/>
  <c r="H29" i="1" s="1"/>
  <c r="B163" i="5"/>
  <c r="B147" i="5"/>
  <c r="C37" i="1" s="1"/>
  <c r="B123" i="5"/>
  <c r="B52" i="5"/>
  <c r="B40" i="5"/>
  <c r="B223" i="5"/>
  <c r="B215" i="5"/>
  <c r="C60" i="1" s="1"/>
  <c r="B207" i="5"/>
  <c r="C53" i="1" s="1"/>
  <c r="B199" i="5"/>
  <c r="C54" i="1" s="1"/>
  <c r="B191" i="5"/>
  <c r="B183" i="5"/>
  <c r="B1" i="3" s="1"/>
  <c r="B175" i="5"/>
  <c r="H23" i="1" s="1"/>
  <c r="B167" i="5"/>
  <c r="D2" i="3" s="1"/>
  <c r="B159" i="5"/>
  <c r="B151" i="5"/>
  <c r="C42" i="1" s="1"/>
  <c r="B143" i="5"/>
  <c r="C30" i="1" s="1"/>
  <c r="B135" i="5"/>
  <c r="C17" i="1" s="1"/>
  <c r="B127" i="5"/>
  <c r="B119" i="5"/>
  <c r="B111" i="5"/>
  <c r="C2" i="1" s="1"/>
  <c r="B64" i="5"/>
  <c r="C64" i="5" s="1"/>
  <c r="C3" i="6" s="1"/>
  <c r="B50" i="5"/>
  <c r="B46" i="5"/>
  <c r="B42" i="5"/>
  <c r="B38" i="5"/>
  <c r="B34" i="5"/>
  <c r="B30" i="5"/>
  <c r="B26" i="5"/>
  <c r="B22" i="5"/>
  <c r="B18" i="5"/>
  <c r="B10" i="5"/>
  <c r="C55" i="5" s="1"/>
  <c r="B204" i="5"/>
  <c r="C50" i="1" s="1"/>
  <c r="B148" i="5"/>
  <c r="C39" i="1" s="1"/>
  <c r="B124" i="5"/>
  <c r="B92" i="5"/>
  <c r="C92" i="5" s="1"/>
  <c r="B80" i="5"/>
  <c r="C80" i="5" s="1"/>
  <c r="B68" i="5"/>
  <c r="C68" i="5" s="1"/>
  <c r="B7" i="5"/>
  <c r="B219" i="5"/>
  <c r="B187" i="5"/>
  <c r="B171" i="5"/>
  <c r="C2" i="4" s="1"/>
  <c r="B155" i="5"/>
  <c r="C46" i="1" s="1"/>
  <c r="B131" i="5"/>
  <c r="C1" i="1" s="1"/>
  <c r="B115" i="5"/>
  <c r="C8" i="1" s="1"/>
  <c r="B48" i="5"/>
  <c r="B36" i="5"/>
  <c r="B222" i="5"/>
  <c r="B214" i="5"/>
  <c r="B206" i="5"/>
  <c r="C52" i="1" s="1"/>
  <c r="B198" i="5"/>
  <c r="I48" i="1" s="1"/>
  <c r="B190" i="5"/>
  <c r="B182" i="5"/>
  <c r="H36" i="1" s="1"/>
  <c r="B174" i="5"/>
  <c r="H20" i="1" s="1"/>
  <c r="B166" i="5"/>
  <c r="C2" i="3" s="1"/>
  <c r="B158" i="5"/>
  <c r="C7" i="1" s="1"/>
  <c r="B150" i="5"/>
  <c r="C41" i="1" s="1"/>
  <c r="B142" i="5"/>
  <c r="C28" i="1" s="1"/>
  <c r="B134" i="5"/>
  <c r="C16" i="1" s="1"/>
  <c r="B126" i="5"/>
  <c r="B118" i="5"/>
  <c r="B105" i="5"/>
  <c r="C105" i="5" s="1"/>
  <c r="B101" i="5"/>
  <c r="C101" i="5" s="1"/>
  <c r="B97" i="5"/>
  <c r="C97" i="5" s="1"/>
  <c r="B93" i="5"/>
  <c r="C93" i="5" s="1"/>
  <c r="B89" i="5"/>
  <c r="C89" i="5" s="1"/>
  <c r="B85" i="5"/>
  <c r="C85" i="5" s="1"/>
  <c r="B81" i="5"/>
  <c r="C81" i="5" s="1"/>
  <c r="B77" i="5"/>
  <c r="C77" i="5" s="1"/>
  <c r="B73" i="5"/>
  <c r="C73" i="5" s="1"/>
  <c r="B69" i="5"/>
  <c r="C69" i="5" s="1"/>
  <c r="B9" i="5"/>
  <c r="C54" i="5" s="1"/>
  <c r="B212" i="5"/>
  <c r="B188" i="5"/>
  <c r="B180" i="5"/>
  <c r="H32" i="1" s="1"/>
  <c r="B172" i="5"/>
  <c r="D2" i="4" s="1"/>
  <c r="B164" i="5"/>
  <c r="B140" i="5"/>
  <c r="B132" i="5"/>
  <c r="B108" i="5"/>
  <c r="C108" i="5" s="1"/>
  <c r="B96" i="5"/>
  <c r="C96" i="5" s="1"/>
  <c r="B84" i="5"/>
  <c r="C84" i="5" s="1"/>
  <c r="B195" i="5"/>
  <c r="I27" i="1" s="1"/>
  <c r="B139" i="5"/>
  <c r="C24" i="1" s="1" a="1"/>
  <c r="C24" i="1" s="1"/>
  <c r="B32" i="5"/>
  <c r="B221" i="5"/>
  <c r="B213" i="5"/>
  <c r="B205" i="5"/>
  <c r="C51" i="1" s="1"/>
  <c r="B197" i="5"/>
  <c r="C48" i="1" s="1"/>
  <c r="B189" i="5"/>
  <c r="B181" i="5"/>
  <c r="H34" i="1" s="1"/>
  <c r="B173" i="5"/>
  <c r="H18" i="1" s="1"/>
  <c r="B165" i="5"/>
  <c r="B2" i="3" s="1"/>
  <c r="B157" i="5"/>
  <c r="B149" i="5"/>
  <c r="C40" i="1" s="1"/>
  <c r="B141" i="5"/>
  <c r="B133" i="5"/>
  <c r="B125" i="5"/>
  <c r="B117" i="5"/>
  <c r="B63" i="5"/>
  <c r="C63" i="5" s="1"/>
  <c r="B49" i="5"/>
  <c r="B45" i="5"/>
  <c r="B41" i="5"/>
  <c r="B37" i="5"/>
  <c r="B33" i="5"/>
  <c r="B29" i="5"/>
  <c r="B25" i="5"/>
  <c r="B21" i="5"/>
  <c r="B17" i="5"/>
  <c r="B8" i="5"/>
  <c r="C53" i="5" s="1"/>
  <c r="B196" i="5"/>
  <c r="B104" i="5"/>
  <c r="C104" i="5" s="1"/>
  <c r="B76" i="5"/>
  <c r="C76" i="5" s="1"/>
  <c r="B203" i="5"/>
  <c r="C49" i="1" s="1"/>
  <c r="B44" i="5"/>
  <c r="B218" i="5"/>
  <c r="B210" i="5"/>
  <c r="B202" i="5"/>
  <c r="B194" i="5"/>
  <c r="B186" i="5"/>
  <c r="H39" i="1" s="1"/>
  <c r="B178" i="5"/>
  <c r="H27" i="1" s="1"/>
  <c r="B170" i="5"/>
  <c r="B2" i="4" s="1"/>
  <c r="B162" i="5"/>
  <c r="G4" i="3" s="1"/>
  <c r="B154" i="5"/>
  <c r="D45" i="1" s="1"/>
  <c r="B146" i="5"/>
  <c r="C35" i="1" s="1"/>
  <c r="B138" i="5"/>
  <c r="C22" i="1" s="1"/>
  <c r="B130" i="5"/>
  <c r="B122" i="5"/>
  <c r="B114" i="5"/>
  <c r="C5" i="1" s="1"/>
  <c r="B107" i="5"/>
  <c r="C107" i="5" s="1"/>
  <c r="B103" i="5"/>
  <c r="C103" i="5" s="1"/>
  <c r="B99" i="5"/>
  <c r="C99" i="5" s="1"/>
  <c r="B95" i="5"/>
  <c r="C95" i="5" s="1"/>
  <c r="B91" i="5"/>
  <c r="C91" i="5" s="1"/>
  <c r="B87" i="5"/>
  <c r="C87" i="5" s="1"/>
  <c r="B83" i="5"/>
  <c r="C83" i="5" s="1"/>
  <c r="B79" i="5"/>
  <c r="C79" i="5" s="1"/>
  <c r="B75" i="5"/>
  <c r="C75" i="5" s="1"/>
  <c r="B71" i="5"/>
  <c r="C71" i="5" s="1"/>
  <c r="B67" i="5"/>
  <c r="C67" i="5" s="1"/>
  <c r="B13" i="5"/>
  <c r="C58" i="5" s="1"/>
  <c r="B5" i="5"/>
  <c r="B51" i="5"/>
  <c r="B47" i="5"/>
  <c r="B43" i="5"/>
  <c r="B39" i="5"/>
  <c r="B35" i="5"/>
  <c r="B31" i="5"/>
  <c r="B27" i="5"/>
  <c r="B23" i="5"/>
  <c r="B19" i="5"/>
  <c r="B12" i="5"/>
  <c r="C57" i="5" s="1"/>
  <c r="B225" i="5"/>
  <c r="B217" i="5"/>
  <c r="C6" i="1" s="1"/>
  <c r="B209" i="5"/>
  <c r="E8" i="1" s="1"/>
  <c r="B201" i="5"/>
  <c r="C56" i="1" s="1"/>
  <c r="B193" i="5"/>
  <c r="B185" i="5"/>
  <c r="B177" i="5"/>
  <c r="H26" i="1" s="1"/>
  <c r="B169" i="5"/>
  <c r="B161" i="5"/>
  <c r="E4" i="4" s="1"/>
  <c r="B153" i="5"/>
  <c r="D44" i="1" s="1"/>
  <c r="B145" i="5"/>
  <c r="C33" i="1" s="1"/>
  <c r="B137" i="5"/>
  <c r="C21" i="1" s="1" a="1"/>
  <c r="C21" i="1" s="1"/>
  <c r="B129" i="5"/>
  <c r="B121" i="5"/>
  <c r="B113" i="5"/>
  <c r="C4" i="1" s="1"/>
  <c r="B6" i="5"/>
  <c r="G41" i="1"/>
  <c r="I41" i="1"/>
  <c r="I60" i="1" l="1"/>
  <c r="C14" i="1"/>
  <c r="C11" i="1"/>
  <c r="C13" i="1"/>
  <c r="C10" i="1"/>
  <c r="C12" i="1"/>
  <c r="C46" i="5"/>
  <c r="C42" i="5"/>
  <c r="C38" i="5"/>
  <c r="C34" i="5"/>
  <c r="C40" i="5"/>
  <c r="C44" i="5"/>
  <c r="C45" i="5"/>
  <c r="C41" i="5"/>
  <c r="C37" i="5"/>
  <c r="C33" i="5"/>
  <c r="C36" i="5"/>
  <c r="C48" i="5"/>
  <c r="C32" i="5"/>
  <c r="C47" i="5"/>
  <c r="C43" i="5"/>
  <c r="C39" i="5"/>
  <c r="C35" i="5"/>
  <c r="C31" i="5"/>
  <c r="C50" i="5"/>
  <c r="C49" i="5"/>
  <c r="C52" i="5"/>
  <c r="C51" i="5"/>
  <c r="C27" i="1"/>
  <c r="A1" i="4"/>
  <c r="I25" i="1"/>
  <c r="I8" i="1"/>
  <c r="I3" i="1"/>
  <c r="I36" i="1"/>
  <c r="I32" i="1"/>
  <c r="I5" i="1"/>
  <c r="I2" i="1"/>
  <c r="I20" i="1"/>
  <c r="I15" i="1"/>
  <c r="I38" i="1"/>
  <c r="I29" i="1"/>
  <c r="I9" i="1"/>
  <c r="I4" i="1"/>
  <c r="I18" i="1"/>
  <c r="I26" i="1"/>
  <c r="I34" i="1"/>
  <c r="I23" i="1"/>
  <c r="C30" i="5"/>
  <c r="C26" i="5"/>
  <c r="C22" i="5"/>
  <c r="C18" i="5"/>
  <c r="C24" i="5"/>
  <c r="C28" i="5"/>
  <c r="C29" i="5"/>
  <c r="C25" i="5"/>
  <c r="C21" i="5"/>
  <c r="C17" i="5"/>
  <c r="C20" i="5"/>
  <c r="C27" i="5"/>
  <c r="C23" i="5"/>
  <c r="C19" i="5"/>
  <c r="C58" i="1"/>
  <c r="C59" i="1"/>
  <c r="C57" i="1"/>
  <c r="I50" i="1"/>
  <c r="I58" i="1"/>
  <c r="I51" i="1"/>
  <c r="I57" i="1"/>
  <c r="I7" i="1"/>
  <c r="I55" i="1"/>
  <c r="I53" i="1"/>
  <c r="I59" i="1"/>
  <c r="I52" i="1"/>
  <c r="I54" i="1"/>
  <c r="I49" i="1"/>
  <c r="I56" i="1"/>
  <c r="A1" i="3"/>
  <c r="C26" i="1"/>
  <c r="G54" i="1"/>
  <c r="G55" i="1"/>
  <c r="A2" i="4"/>
  <c r="A2" i="3"/>
  <c r="A1" i="2"/>
  <c r="C15" i="1" a="1"/>
  <c r="C15" i="1" s="1"/>
  <c r="I6" i="1"/>
  <c r="B3" i="6"/>
  <c r="B4" i="6"/>
  <c r="I11" i="1"/>
  <c r="I13" i="1"/>
  <c r="I10" i="1"/>
  <c r="I14" i="1"/>
  <c r="I12" i="1"/>
</calcChain>
</file>

<file path=xl/sharedStrings.xml><?xml version="1.0" encoding="utf-8"?>
<sst xmlns="http://schemas.openxmlformats.org/spreadsheetml/2006/main" count="5248" uniqueCount="4929">
  <si>
    <t>&lt;to be hidden&gt;</t>
  </si>
  <si>
    <t xml:space="preserve"> </t>
  </si>
  <si>
    <t>xs:country</t>
  </si>
  <si>
    <t>*</t>
  </si>
  <si>
    <t>xs:language</t>
  </si>
  <si>
    <t>hu</t>
  </si>
  <si>
    <t>xs:euSubmission</t>
  </si>
  <si>
    <t>xs:projectTitle</t>
  </si>
  <si>
    <t>xs:ntsId</t>
  </si>
  <si>
    <t>xs:ntsNationalId</t>
  </si>
  <si>
    <t>xs:projectDuration</t>
  </si>
  <si>
    <t>xs:keywords</t>
  </si>
  <si>
    <t>xs:keyword</t>
  </si>
  <si>
    <t>xs:projectPurposes</t>
  </si>
  <si>
    <t>xs:projectObjectives</t>
  </si>
  <si>
    <t>xs:potentialBenefits</t>
  </si>
  <si>
    <t>xs:procedures</t>
  </si>
  <si>
    <t>xs:expectedImpacts</t>
  </si>
  <si>
    <t>xs:expectedHarms</t>
  </si>
  <si>
    <t>xs:fateOfAnimalsKeptAlive</t>
  </si>
  <si>
    <t>xs:fateReasons</t>
  </si>
  <si>
    <t>xs:replacement</t>
  </si>
  <si>
    <t>xs:reduction</t>
  </si>
  <si>
    <t>xs:refinement</t>
  </si>
  <si>
    <t>xs:speciesChoiceExplanation</t>
  </si>
  <si>
    <t>xs:raSelected</t>
  </si>
  <si>
    <t>xs:raDeadline</t>
  </si>
  <si>
    <t xml:space="preserve">
</t>
  </si>
  <si>
    <t>xs:severeProcedure</t>
  </si>
  <si>
    <t>xs:nhpUse</t>
  </si>
  <si>
    <t>xs:other</t>
  </si>
  <si>
    <t>xs:otherExplanation</t>
  </si>
  <si>
    <t>xs:field1</t>
  </si>
  <si>
    <t>xs:field2</t>
  </si>
  <si>
    <t>xs:field3</t>
  </si>
  <si>
    <t>xs:field4</t>
  </si>
  <si>
    <t>xs:field5</t>
  </si>
  <si>
    <t>xs:projectStartDate</t>
  </si>
  <si>
    <t>xs:projectEndDate</t>
  </si>
  <si>
    <t>xs:projectApprovalDate</t>
  </si>
  <si>
    <t>xs:icdCode1</t>
  </si>
  <si>
    <t>xs:icdCode2</t>
  </si>
  <si>
    <t>xs:icdCode3</t>
  </si>
  <si>
    <t>xs:ntsPreviousVersionExternalLink</t>
  </si>
  <si>
    <t>Purpose</t>
  </si>
  <si>
    <t>xs:species</t>
  </si>
  <si>
    <t>xs:nonRecovery</t>
  </si>
  <si>
    <t>xs:mild</t>
  </si>
  <si>
    <t>xs:moderate</t>
  </si>
  <si>
    <t>xs:severe</t>
  </si>
  <si>
    <t>xs:custom</t>
  </si>
  <si>
    <t>xs:reused</t>
  </si>
  <si>
    <t>xs:returned</t>
  </si>
  <si>
    <t>xs:rehomed</t>
  </si>
  <si>
    <t>languages</t>
  </si>
  <si>
    <t>bg</t>
  </si>
  <si>
    <t>cs</t>
  </si>
  <si>
    <t>da</t>
  </si>
  <si>
    <t>de</t>
  </si>
  <si>
    <t>el</t>
  </si>
  <si>
    <t>en</t>
  </si>
  <si>
    <t>es</t>
  </si>
  <si>
    <t>et</t>
  </si>
  <si>
    <t>fi</t>
  </si>
  <si>
    <t>fr</t>
  </si>
  <si>
    <t>ga</t>
  </si>
  <si>
    <t>hr</t>
  </si>
  <si>
    <t>it</t>
  </si>
  <si>
    <t>lt</t>
  </si>
  <si>
    <t>lv</t>
  </si>
  <si>
    <t>mt</t>
  </si>
  <si>
    <t>nl</t>
  </si>
  <si>
    <t>pl</t>
  </si>
  <si>
    <t>pt</t>
  </si>
  <si>
    <t>ro</t>
  </si>
  <si>
    <t>sk</t>
  </si>
  <si>
    <t>sl</t>
  </si>
  <si>
    <t>sv</t>
  </si>
  <si>
    <t>no</t>
  </si>
  <si>
    <t>purposeCategories</t>
  </si>
  <si>
    <t>purposeCategoryTranslated</t>
  </si>
  <si>
    <t>PB</t>
  </si>
  <si>
    <t>Фундаментални изследвания</t>
  </si>
  <si>
    <t>Základní výzkum</t>
  </si>
  <si>
    <t>Grundforskning</t>
  </si>
  <si>
    <t>Grundlagenforschung</t>
  </si>
  <si>
    <t>Βασική έρευνα</t>
  </si>
  <si>
    <t>Basic research</t>
  </si>
  <si>
    <t>Investigación básica</t>
  </si>
  <si>
    <t>Alusuuringud</t>
  </si>
  <si>
    <t>Perustutkimus</t>
  </si>
  <si>
    <t>Recherche fondamentale</t>
  </si>
  <si>
    <t>Temeljna istraživanja</t>
  </si>
  <si>
    <t>Alapkutatás</t>
  </si>
  <si>
    <t>Ricerca di base</t>
  </si>
  <si>
    <t>Fundamentiniai moksliniai tyrimai</t>
  </si>
  <si>
    <t>Fundamentālie pētījumi</t>
  </si>
  <si>
    <t>Riċerka bażika</t>
  </si>
  <si>
    <t>Fundamenteel onderzoek</t>
  </si>
  <si>
    <t>Badania podstawowe</t>
  </si>
  <si>
    <t>Investigação fundamental</t>
  </si>
  <si>
    <t>Cercetare de bază</t>
  </si>
  <si>
    <t>Základný výskum</t>
  </si>
  <si>
    <t>Temeljne raziskave</t>
  </si>
  <si>
    <t>Grunnforskning</t>
  </si>
  <si>
    <t>PT</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</si>
  <si>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</si>
  <si>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</si>
  <si>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</si>
  <si>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</si>
  <si>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</si>
  <si>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Translational and applied research</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</si>
  <si>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</si>
  <si>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</si>
  <si>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</si>
  <si>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</si>
  <si>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</si>
  <si>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</si>
  <si>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</si>
  <si>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</si>
  <si>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</si>
  <si>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t>Riċerka translazzjonali u applikata</t>
  </si>
  <si>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</si>
  <si>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</si>
  <si>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</si>
  <si>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</si>
  <si>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</si>
  <si>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</si>
  <si>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t>Translationell och tillämpad forskning</t>
  </si>
  <si>
    <t>Translasjonell og anvendt forskning</t>
  </si>
  <si>
    <t>PR</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</si>
  <si>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</si>
  <si>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</si>
  <si>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</si>
  <si>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</si>
  <si>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</si>
  <si>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Regulatory use and routine production</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</si>
  <si>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</si>
  <si>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</si>
  <si>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</si>
  <si>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</si>
  <si>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</si>
  <si>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</si>
  <si>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</si>
  <si>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</si>
  <si>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</si>
  <si>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t>Użu regolatorju u produzzjoni ta’ rutina</t>
  </si>
  <si>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</si>
  <si>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</si>
  <si>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</si>
  <si>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</si>
  <si>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</si>
  <si>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</si>
  <si>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t>Lagstadgad användning och rutinmässig produktion</t>
  </si>
  <si>
    <t>Regelverksbasert bruk og rutineproduksjon</t>
  </si>
  <si>
    <t>PE40</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</si>
  <si>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</si>
  <si>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</si>
  <si>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</si>
  <si>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</si>
  <si>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</si>
  <si>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Protection of the natural environment in the interests of the health or welfare of human beings or animals</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</si>
  <si>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</si>
  <si>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</si>
  <si>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</si>
  <si>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</si>
  <si>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</si>
  <si>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</si>
  <si>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</si>
  <si>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</si>
  <si>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</si>
  <si>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t>Protezzjoni tal-ambjent naturali fl-interessi tas-saħħa jew tal-benessri tal-bniedem jew tal-annimali</t>
  </si>
  <si>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</si>
  <si>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</si>
  <si>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</si>
  <si>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</si>
  <si>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</si>
  <si>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</si>
  <si>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t>Skydd av den naturliga miljön för att bevara människors eller djurs hälsa eller välfärd</t>
  </si>
  <si>
    <t>Vern av naturmiljøet av hensyn til menneskers eller dyrs helse eller velferd</t>
  </si>
  <si>
    <t>PS41</t>
  </si>
  <si>
    <t>Опазване на видовете</t>
  </si>
  <si>
    <t>Zachování druhů</t>
  </si>
  <si>
    <t>Artsbevarelse</t>
  </si>
  <si>
    <t>Erhaltung der Art</t>
  </si>
  <si>
    <t>Διατήρηση ζωικών ειδών</t>
  </si>
  <si>
    <t>Preservation of species</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</si>
  <si>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</si>
  <si>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</si>
  <si>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</si>
  <si>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</si>
  <si>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</si>
  <si>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</si>
  <si>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</si>
  <si>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</si>
  <si>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</si>
  <si>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t>Preservazzjoni tal-ispeċijiet</t>
  </si>
  <si>
    <t>Behoud van de soort</t>
  </si>
  <si>
    <t>Badania mające na celu zachowanie gatunku</t>
  </si>
  <si>
    <t>Preservação de espécies</t>
  </si>
  <si>
    <t>Conservarea speciilor</t>
  </si>
  <si>
    <t>Ochrana druhov</t>
  </si>
  <si>
    <t>Ohranjanje živalskih vrst</t>
  </si>
  <si>
    <t>Artskydd</t>
  </si>
  <si>
    <t>Artsbevaring</t>
  </si>
  <si>
    <t>PE42-1</t>
  </si>
  <si>
    <t>Висше образование</t>
  </si>
  <si>
    <t>Vyšší vzdělávání</t>
  </si>
  <si>
    <t>Højere uddannelse</t>
  </si>
  <si>
    <t>Hochschulausbildung</t>
  </si>
  <si>
    <t>Τριτοβάθμια εκπαίδευση</t>
  </si>
  <si>
    <t>Higher education</t>
  </si>
  <si>
    <t>Enseñanza superior</t>
  </si>
  <si>
    <t>Kõrgharidus</t>
  </si>
  <si>
    <t>Korkea-asteen koulutus</t>
  </si>
  <si>
    <t>Enseignement supérieur</t>
  </si>
  <si>
    <t>Visoko obrazovanje</t>
  </si>
  <si>
    <t>Felsőoktatás</t>
  </si>
  <si>
    <t>Insegnamento superiore</t>
  </si>
  <si>
    <t>Aukštasis mokslas</t>
  </si>
  <si>
    <t>Augstākā izglītība</t>
  </si>
  <si>
    <t>Edukazzjoni għolja</t>
  </si>
  <si>
    <t>Hoger onderwijs</t>
  </si>
  <si>
    <t>Kształcenie na poziomie szkolnictwa wyższego</t>
  </si>
  <si>
    <t>Ensino superior</t>
  </si>
  <si>
    <t>Învățământ superior</t>
  </si>
  <si>
    <t>Vysokoškolské vzdelávanie</t>
  </si>
  <si>
    <t>Visokošolsko izobraževanje</t>
  </si>
  <si>
    <t>Högre utbildning</t>
  </si>
  <si>
    <t>Høyere utdanning</t>
  </si>
  <si>
    <t>PE42-2</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</si>
  <si>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</si>
  <si>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</si>
  <si>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</si>
  <si>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</si>
  <si>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</si>
  <si>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Training for the acquisition, maintenance or improvement of vocational skills</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</si>
  <si>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</si>
  <si>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</si>
  <si>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</si>
  <si>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</si>
  <si>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</si>
  <si>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</si>
  <si>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</si>
  <si>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</si>
  <si>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</si>
  <si>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t>Taħriġ għall-akkwist, il-manteniment jew it-titjib ta’ ħiliet vokazzjonali</t>
  </si>
  <si>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</si>
  <si>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</si>
  <si>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</si>
  <si>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</si>
  <si>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</si>
  <si>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</si>
  <si>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t>Utbildning för att förvärva, vidmakthålla eller förbättra yrkesfärdigheter</t>
  </si>
  <si>
    <t>Opplæring for erverv, vedlikehold eller forbedring av yrkeskompetanse</t>
  </si>
  <si>
    <t>PF43</t>
  </si>
  <si>
    <t>Съдебномедицински разследвания</t>
  </si>
  <si>
    <t>Forenzní šetření</t>
  </si>
  <si>
    <t>Retsmedicinske undersøgelser</t>
  </si>
  <si>
    <t>Forensische Untersuchungen</t>
  </si>
  <si>
    <t>Ιατροδικαστικές έρευνες</t>
  </si>
  <si>
    <t>Forensic enquiries</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</si>
  <si>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</si>
  <si>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</si>
  <si>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</si>
  <si>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</si>
  <si>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</si>
  <si>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</si>
  <si>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</si>
  <si>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</si>
  <si>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</si>
  <si>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t>Inkjesti forensiċi</t>
  </si>
  <si>
    <t>Forensisch onderzoek</t>
  </si>
  <si>
    <t>Badania z zakresu medycyny sądowej</t>
  </si>
  <si>
    <t>Medicina legal</t>
  </si>
  <si>
    <t>Investigații medico-legale</t>
  </si>
  <si>
    <t>Forenzné vyšetrovanie</t>
  </si>
  <si>
    <t>Sodnomedicinske preiskave</t>
  </si>
  <si>
    <t>Rättsmedicinska undersökningar</t>
  </si>
  <si>
    <t>Rettsmedisinske undersøkelser</t>
  </si>
  <si>
    <t>PG43</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</si>
  <si>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</si>
  <si>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</si>
  <si>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</si>
  <si>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</si>
  <si>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</si>
  <si>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Maintenance of colonies of established genetically altered animals, not used in other procedures</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</si>
  <si>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</si>
  <si>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</si>
  <si>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</si>
  <si>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</si>
  <si>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</si>
  <si>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</si>
  <si>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</si>
  <si>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</si>
  <si>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</si>
  <si>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t>Manteniment ta’ kolonji ta’ annimali mibdulin ġenetikament stabbiliti, li ma ntużawx fi proċeduri oħra</t>
  </si>
  <si>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</si>
  <si>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</si>
  <si>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</si>
  <si>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</si>
  <si>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</si>
  <si>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</si>
  <si>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t>Upprätthållande av kolonier av etablerade genetiskt förändrade djur som inte används i andra försök</t>
  </si>
  <si>
    <t>Opprettholdelse av kolonier av etablerte genmodifiserte dyr som ikke brukes i andre forsøk</t>
  </si>
  <si>
    <t>PN107</t>
  </si>
  <si>
    <t>Цели извън ЕС</t>
  </si>
  <si>
    <t>Účel mimo působnost EU</t>
  </si>
  <si>
    <t>Formål uden for EU</t>
  </si>
  <si>
    <t>Nicht-EU-Zweck</t>
  </si>
  <si>
    <t>Μη ενωσιακός σκοπός</t>
  </si>
  <si>
    <t>Non-EU Purpose</t>
  </si>
  <si>
    <t>Finalidad no UE</t>
  </si>
  <si>
    <t>Muu kui ELiga seotud eesmärk</t>
  </si>
  <si>
    <t>Muu kuin EU:n tavoite</t>
  </si>
  <si>
    <t>Finalité hors UE</t>
  </si>
  <si>
    <t>Nije za potrebe EU-a</t>
  </si>
  <si>
    <t>Nem uniós cél</t>
  </si>
  <si>
    <t>Scopo non contemplato dall'UE</t>
  </si>
  <si>
    <t>Ne ES tikslas</t>
  </si>
  <si>
    <t>Nav ES nolūkiem</t>
  </si>
  <si>
    <t>Għan mhux tal-UE</t>
  </si>
  <si>
    <t>Geen EU-doelstelling</t>
  </si>
  <si>
    <t>Cel niezwiązany z UE</t>
  </si>
  <si>
    <t>Finalidade não UE</t>
  </si>
  <si>
    <t>Scop non-UE</t>
  </si>
  <si>
    <t>Účel iný než predloženie EÚ</t>
  </si>
  <si>
    <t>Ni za namene EU</t>
  </si>
  <si>
    <t>Syfte utanför EU</t>
  </si>
  <si>
    <t>Formål utenfor EU</t>
  </si>
  <si>
    <t>purposeCode</t>
  </si>
  <si>
    <t>purposeTranslated</t>
  </si>
  <si>
    <t>purposeShown</t>
  </si>
  <si>
    <t>PB1</t>
  </si>
  <si>
    <t>Онкология</t>
  </si>
  <si>
    <t>Onkologie</t>
  </si>
  <si>
    <t>Onkologi</t>
  </si>
  <si>
    <t>Ογκολογία</t>
  </si>
  <si>
    <t>Oncology</t>
  </si>
  <si>
    <t>Oncología</t>
  </si>
  <si>
    <t>Onkoloogia</t>
  </si>
  <si>
    <t>Syöpätaudit</t>
  </si>
  <si>
    <t>Oncologie</t>
  </si>
  <si>
    <t>Onkologija</t>
  </si>
  <si>
    <t>Onkológiai</t>
  </si>
  <si>
    <t>Oncologia</t>
  </si>
  <si>
    <t>Onkoloģija</t>
  </si>
  <si>
    <t>Onkoloġija</t>
  </si>
  <si>
    <t>Onkologia</t>
  </si>
  <si>
    <t>Onkológia</t>
  </si>
  <si>
    <t>PB2</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</si>
  <si>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</si>
  <si>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</si>
  <si>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</si>
  <si>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</si>
  <si>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</si>
  <si>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Cardiovascular Blood and Lymphatic System</t>
  </si>
  <si>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</si>
  <si>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</si>
  <si>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</si>
  <si>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</si>
  <si>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</si>
  <si>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</si>
  <si>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</si>
  <si>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</si>
  <si>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</si>
  <si>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t>Sistema Kardjovaskulari tad-Demm u Limfatika</t>
  </si>
  <si>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</si>
  <si>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</si>
  <si>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</si>
  <si>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</si>
  <si>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</si>
  <si>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</si>
  <si>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t>Hjärt-kärlsystemet, blodet och lymfsystemet</t>
  </si>
  <si>
    <t>Hjerte- og karsystem, blod- og lymfesystem</t>
  </si>
  <si>
    <t>PB3</t>
  </si>
  <si>
    <t>Нервна система</t>
  </si>
  <si>
    <t>Nervová soustava</t>
  </si>
  <si>
    <t>Nervesystemet</t>
  </si>
  <si>
    <t>Nervensystem</t>
  </si>
  <si>
    <t>Νευρικό σύστημα</t>
  </si>
  <si>
    <t>Nervous System</t>
  </si>
  <si>
    <t>Sistema nervioso</t>
  </si>
  <si>
    <t>Närvisüsteem</t>
  </si>
  <si>
    <t>Hermosto</t>
  </si>
  <si>
    <t>Système nerveux</t>
  </si>
  <si>
    <t>Živčani sustav</t>
  </si>
  <si>
    <t>Idegrendszeri</t>
  </si>
  <si>
    <t>Sistema nervoso</t>
  </si>
  <si>
    <t>Nervų sistema</t>
  </si>
  <si>
    <t>Nervu sistēma</t>
  </si>
  <si>
    <t>Sistema Nervuża</t>
  </si>
  <si>
    <t>Zenuwstelsel</t>
  </si>
  <si>
    <t>Układ nerwowy</t>
  </si>
  <si>
    <t>Sistemul nervos</t>
  </si>
  <si>
    <t>Nervová sústava</t>
  </si>
  <si>
    <t>Živčni sistem</t>
  </si>
  <si>
    <t>Nervsystemet</t>
  </si>
  <si>
    <t>Nervesystem</t>
  </si>
  <si>
    <t>PB4</t>
  </si>
  <si>
    <t>Дихателна система</t>
  </si>
  <si>
    <t>Dýchací soustava</t>
  </si>
  <si>
    <t>Luftvejssystemet</t>
  </si>
  <si>
    <t>Atmungssystem</t>
  </si>
  <si>
    <t>Αναπνευστικό σύστημα</t>
  </si>
  <si>
    <t>Respiratory System</t>
  </si>
  <si>
    <t>Sistema respiratorio</t>
  </si>
  <si>
    <t>Hingamiselundkond</t>
  </si>
  <si>
    <t>Hengityselimet</t>
  </si>
  <si>
    <t>Appareil respiratoire</t>
  </si>
  <si>
    <t>Dišni sustav</t>
  </si>
  <si>
    <t>Légzőrendszeri</t>
  </si>
  <si>
    <t>Apparato respiratorio</t>
  </si>
  <si>
    <t>Kvėpavimo sistema</t>
  </si>
  <si>
    <t>Elpošanas orgānu sistēma</t>
  </si>
  <si>
    <t>Sistema Respiratorja</t>
  </si>
  <si>
    <t>Luchtwegenstelsel</t>
  </si>
  <si>
    <t>Układ oddechowy</t>
  </si>
  <si>
    <t>Sistema respiratório</t>
  </si>
  <si>
    <t>Sistemul respirator</t>
  </si>
  <si>
    <t>Dýchacia sústava</t>
  </si>
  <si>
    <t>Dihalni sistem</t>
  </si>
  <si>
    <t>Andningsorganen</t>
  </si>
  <si>
    <t>Åndedrettsorganer</t>
  </si>
  <si>
    <t>PB5</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</si>
  <si>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</si>
  <si>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</si>
  <si>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</si>
  <si>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</si>
  <si>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</si>
  <si>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Gastrointestinal System including Liver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</si>
  <si>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</si>
  <si>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</si>
  <si>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</si>
  <si>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</si>
  <si>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</si>
  <si>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</si>
  <si>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</si>
  <si>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</si>
  <si>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</si>
  <si>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t>Sistema Gastrointestinali inkluż il-Fwied</t>
  </si>
  <si>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</si>
  <si>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</si>
  <si>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</si>
  <si>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</si>
  <si>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</si>
  <si>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</si>
  <si>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t>Mag-tarmsystemet, inklusive levern</t>
  </si>
  <si>
    <t>Mage- og tarmsystem, herunder lever</t>
  </si>
  <si>
    <t>PB6</t>
  </si>
  <si>
    <t>Мускулно-скелетна система</t>
  </si>
  <si>
    <t>Svalová a kosterní soustava</t>
  </si>
  <si>
    <t>Bevægeapparatet</t>
  </si>
  <si>
    <t>Muskuloskelettales System</t>
  </si>
  <si>
    <t>Μυοσκελετικό σύστημα</t>
  </si>
  <si>
    <t>Musculoskeletal System</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</si>
  <si>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</si>
  <si>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</si>
  <si>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</si>
  <si>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</si>
  <si>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</si>
  <si>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</si>
  <si>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</si>
  <si>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</si>
  <si>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</si>
  <si>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t>Sistema Muskoluskeletali</t>
  </si>
  <si>
    <t>Spier- en skeletstelsel</t>
  </si>
  <si>
    <t>Układ mięśniowo-szkieletowy</t>
  </si>
  <si>
    <t>Sistema musculoesquelético</t>
  </si>
  <si>
    <t>Sistemul musculo-scheletic</t>
  </si>
  <si>
    <t>Kostrová a svalová sústava</t>
  </si>
  <si>
    <t>Mišično-kostni sistem</t>
  </si>
  <si>
    <t>Rörelseapparaten (muskuloskeletala systemet)</t>
  </si>
  <si>
    <t>Muskel- og skjelettsystem</t>
  </si>
  <si>
    <t>PB7</t>
  </si>
  <si>
    <t>Имунна система</t>
  </si>
  <si>
    <t>Imunitní systém</t>
  </si>
  <si>
    <t>Immunsystemet</t>
  </si>
  <si>
    <t>Immunsystem</t>
  </si>
  <si>
    <t>Ανοσοποιητικό σύστημα</t>
  </si>
  <si>
    <t>Immune System</t>
  </si>
  <si>
    <t>Sistema inmunológico</t>
  </si>
  <si>
    <t>Immuunsüsteem</t>
  </si>
  <si>
    <t>Immuunijärjestelmä</t>
  </si>
  <si>
    <t>Système immunitaire</t>
  </si>
  <si>
    <t>Imunosni sustav</t>
  </si>
  <si>
    <t>Immunrendszeri</t>
  </si>
  <si>
    <t>Sistema immunitario</t>
  </si>
  <si>
    <t>Imuninė sistema</t>
  </si>
  <si>
    <t>Imūnsistēma</t>
  </si>
  <si>
    <t>Sistema Immunitarja</t>
  </si>
  <si>
    <t>Immuunstelsel</t>
  </si>
  <si>
    <t>Układ odpornościowy</t>
  </si>
  <si>
    <t>Sistema imunitário</t>
  </si>
  <si>
    <t>Sistemul imunitar</t>
  </si>
  <si>
    <t>Imunitný systém</t>
  </si>
  <si>
    <t>Imunski sistem</t>
  </si>
  <si>
    <t>PB8</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</si>
  <si>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</si>
  <si>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</si>
  <si>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</si>
  <si>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</si>
  <si>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</si>
  <si>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Urogenital/Reproductive System</t>
  </si>
  <si>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</si>
  <si>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</si>
  <si>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</si>
  <si>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</si>
  <si>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</si>
  <si>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</si>
  <si>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</si>
  <si>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</si>
  <si>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</si>
  <si>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t>Sistema Uroġenitali/Riproduttiva</t>
  </si>
  <si>
    <t>Urogenitaal / voortplantingsstelsel</t>
  </si>
  <si>
    <t>Układ moczowo-płciowy i rozrodczy</t>
  </si>
  <si>
    <t>Sistema urogenital/reprodutor</t>
  </si>
  <si>
    <t>Sistemul urogenital/reproducător</t>
  </si>
  <si>
    <t>Urogenitálny/reprodukčný systém</t>
  </si>
  <si>
    <t>Urogenitalni/reproduktivni sistem</t>
  </si>
  <si>
    <t>Urogenital-/fortplantningssystemet</t>
  </si>
  <si>
    <t>Det urogenitale system / forplantningssystemet</t>
  </si>
  <si>
    <t>PB9</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</si>
  <si>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</si>
  <si>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</si>
  <si>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</si>
  <si>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</si>
  <si>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</si>
  <si>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Sensory Organs (skin, eyes and ears)</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</si>
  <si>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</si>
  <si>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</si>
  <si>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</si>
  <si>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</si>
  <si>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</si>
  <si>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</si>
  <si>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</si>
  <si>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</si>
  <si>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</si>
  <si>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t>Organi Sensorji (il-ġilda, l-għajnejn u l-widnejn)</t>
  </si>
  <si>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</si>
  <si>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</si>
  <si>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</si>
  <si>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</si>
  <si>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</si>
  <si>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</si>
  <si>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t>Sinnesorganen (hud, ögon och öron)</t>
  </si>
  <si>
    <t>Sanseorganer (hud, øyne og ører)</t>
  </si>
  <si>
    <t>PB10</t>
  </si>
  <si>
    <t>Ендокринна система/метаболизъм</t>
  </si>
  <si>
    <t>Endokrinní systém / metabolismus</t>
  </si>
  <si>
    <t>Det endokrine system/metabolismen</t>
  </si>
  <si>
    <t>Endokrines System/Stoffwechsel</t>
  </si>
  <si>
    <t>Ενδοκρινικό σύστημα/Μεταβολισμός</t>
  </si>
  <si>
    <t>Endocrine System/Metabolism</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</si>
  <si>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</si>
  <si>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</si>
  <si>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</si>
  <si>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</si>
  <si>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</si>
  <si>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</si>
  <si>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</si>
  <si>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</si>
  <si>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</si>
  <si>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t>Sistema Endokrinali/Metaboliżmu</t>
  </si>
  <si>
    <t>Endocrien stelsel / metabolisme</t>
  </si>
  <si>
    <t>Układ wewnątrzwydzielniczy/Metabolizm</t>
  </si>
  <si>
    <t>Sistema endócrino/metabolismo</t>
  </si>
  <si>
    <t>Sistemul endocrin/metabolism</t>
  </si>
  <si>
    <t>Endokrinný systém/metabolizmus</t>
  </si>
  <si>
    <t>Endokrini sistem/metabolizem</t>
  </si>
  <si>
    <t>Endokrina systemet/ämnesomsättningen</t>
  </si>
  <si>
    <t>Det endokrine system / stoffskifte</t>
  </si>
  <si>
    <t>PB14</t>
  </si>
  <si>
    <t>Развойна биология</t>
  </si>
  <si>
    <t>Vývojová biologie</t>
  </si>
  <si>
    <t>Udviklingsbiologi</t>
  </si>
  <si>
    <t>Entwicklungsbiologie</t>
  </si>
  <si>
    <t>Αναπτυξιακή βιολογία</t>
  </si>
  <si>
    <t>Developmental Biology</t>
  </si>
  <si>
    <t>Biología del desarrollo</t>
  </si>
  <si>
    <t>Arengubioloogia</t>
  </si>
  <si>
    <t>Kehitysbiologia</t>
  </si>
  <si>
    <t>Biologie du développement</t>
  </si>
  <si>
    <t>Razvojna biologija</t>
  </si>
  <si>
    <t>Fejlődésbiológiai</t>
  </si>
  <si>
    <t>Biologia dello sviluppo</t>
  </si>
  <si>
    <t>Vystymosi biologija</t>
  </si>
  <si>
    <t>Ontoģenēzes bioloģija</t>
  </si>
  <si>
    <t>Bijoloġija tal-Iżvilupp</t>
  </si>
  <si>
    <t>Ontwikkelingsbiologie</t>
  </si>
  <si>
    <t>Biologia rozwoju</t>
  </si>
  <si>
    <t>Biologia do desenvolvimento</t>
  </si>
  <si>
    <t>Biologia dezvoltării</t>
  </si>
  <si>
    <t>Vývojová biológia</t>
  </si>
  <si>
    <t>Utvecklingsbiologi</t>
  </si>
  <si>
    <t>Utviklingsbiologi</t>
  </si>
  <si>
    <t>PB11</t>
  </si>
  <si>
    <t>Мултисистемни</t>
  </si>
  <si>
    <t>Multisystémové</t>
  </si>
  <si>
    <t>Multisystemisk</t>
  </si>
  <si>
    <t>Multisystemisch</t>
  </si>
  <si>
    <t>Πολυσυστημικές μελέτες</t>
  </si>
  <si>
    <t>Multisystemic</t>
  </si>
  <si>
    <t>Multisistémico</t>
  </si>
  <si>
    <t>Multisüsteemne</t>
  </si>
  <si>
    <t>Monielimellinen</t>
  </si>
  <si>
    <t>Multisystémique</t>
  </si>
  <si>
    <t>Višesustavno</t>
  </si>
  <si>
    <t>Multiszisztémás</t>
  </si>
  <si>
    <t>Multiapparato</t>
  </si>
  <si>
    <t>Daugiasistemiai tyrimai</t>
  </si>
  <si>
    <t>Multisistēmiski pētījumi</t>
  </si>
  <si>
    <t>Multisistemiku</t>
  </si>
  <si>
    <t>Badania obejmujące wiele układów</t>
  </si>
  <si>
    <t>Multissistémico</t>
  </si>
  <si>
    <t>Multisistemic</t>
  </si>
  <si>
    <t>Multisystémové štúdie</t>
  </si>
  <si>
    <t>Multisistemsko</t>
  </si>
  <si>
    <t>Multisystemiska studier</t>
  </si>
  <si>
    <t>PB12</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</si>
  <si>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</si>
  <si>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</si>
  <si>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</si>
  <si>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</si>
  <si>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</si>
  <si>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Ethology/Animal Behaviour/Animal Biology</t>
  </si>
  <si>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</si>
  <si>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</si>
  <si>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</si>
  <si>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</si>
  <si>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</si>
  <si>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</si>
  <si>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</si>
  <si>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</si>
  <si>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</si>
  <si>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t>Etoloġija/Imġiba tal-Annimali/Bijoloġija tal-Annimali</t>
  </si>
  <si>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</si>
  <si>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</si>
  <si>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</si>
  <si>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</si>
  <si>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</si>
  <si>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</si>
  <si>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t>Etologi/beteende hos djur/djurbiologi</t>
  </si>
  <si>
    <t>Etologi/dyreatferd/dyrebiologi</t>
  </si>
  <si>
    <t>PB13</t>
  </si>
  <si>
    <t>Други фундаментални изследвания</t>
  </si>
  <si>
    <t>Další základní výzkum</t>
  </si>
  <si>
    <t>Anden grundforskning</t>
  </si>
  <si>
    <t>Andere Grundlagenforschung</t>
  </si>
  <si>
    <t>Άλλες μελέτες βασικής έρευνας</t>
  </si>
  <si>
    <t>Other Basic Research</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</si>
  <si>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</si>
  <si>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</si>
  <si>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</si>
  <si>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</si>
  <si>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</si>
  <si>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</si>
  <si>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</si>
  <si>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</si>
  <si>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</si>
  <si>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t>Riċerka Bażika Oħra</t>
  </si>
  <si>
    <t>Ander fundamenteel onderzoek</t>
  </si>
  <si>
    <t>Inne badania podstawowe</t>
  </si>
  <si>
    <t>Outros tipos de investigação fundamental</t>
  </si>
  <si>
    <t>Alte tipuri de cercetare de bază</t>
  </si>
  <si>
    <t>Iný základný výskum</t>
  </si>
  <si>
    <t>Druge temeljne raziskave</t>
  </si>
  <si>
    <t>Annan grundforskning</t>
  </si>
  <si>
    <t>Annen grunnforskning</t>
  </si>
  <si>
    <t>PT21</t>
  </si>
  <si>
    <t>Ракови заболявания при човека</t>
  </si>
  <si>
    <t>Rakovina u lidí</t>
  </si>
  <si>
    <t>Cancer hos mennesker</t>
  </si>
  <si>
    <t>Krebserkrankungen des Menschen</t>
  </si>
  <si>
    <t>Καρκίνος του ανθρώπου</t>
  </si>
  <si>
    <t>Human Cancer</t>
  </si>
  <si>
    <t>Cáncer humano</t>
  </si>
  <si>
    <t>Inimestel esinev vähktõbi</t>
  </si>
  <si>
    <t>Ihmisen syöpä</t>
  </si>
  <si>
    <t>Cancer humain</t>
  </si>
  <si>
    <t>Rak u ljudi</t>
  </si>
  <si>
    <t>Emberi rákbetegségek</t>
  </si>
  <si>
    <t>Tumori degli esseri umani</t>
  </si>
  <si>
    <t>Žmogaus vėžys</t>
  </si>
  <si>
    <t>Cilvēka vēzis</t>
  </si>
  <si>
    <t>Kanċer Uman</t>
  </si>
  <si>
    <t>Kanker bij de mens</t>
  </si>
  <si>
    <t>Nowotwór u człowieka</t>
  </si>
  <si>
    <t>Cancro humano</t>
  </si>
  <si>
    <t>Cancerul la om</t>
  </si>
  <si>
    <t>Rakovina u ľudí</t>
  </si>
  <si>
    <t>Rak pri človeku</t>
  </si>
  <si>
    <t>Cancer hos människa</t>
  </si>
  <si>
    <t>Kreft hos mennesker</t>
  </si>
  <si>
    <t>PT22</t>
  </si>
  <si>
    <t>Заразни болести при човека</t>
  </si>
  <si>
    <t>Infekční onemocnění u lidí</t>
  </si>
  <si>
    <t>Smitsomme sygdomme hos mennesker</t>
  </si>
  <si>
    <t>Infektionskrankheiten des Menschen</t>
  </si>
  <si>
    <t>Λοιμώδεις διαταραχές του ανθρώπου</t>
  </si>
  <si>
    <t>Human Infectious Disorders</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</si>
  <si>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</si>
  <si>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</si>
  <si>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</si>
  <si>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</si>
  <si>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</si>
  <si>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</si>
  <si>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</si>
  <si>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</si>
  <si>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</si>
  <si>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t>Disturbi Infettivi Umani</t>
  </si>
  <si>
    <t>Besmettelijke ziekten van de mens</t>
  </si>
  <si>
    <t>Choroby zakaźne u człowieka</t>
  </si>
  <si>
    <t>Patologias infecciosas humanas</t>
  </si>
  <si>
    <t>Boli infecțioase la om</t>
  </si>
  <si>
    <t>Infekčné ochorenia u ľudí</t>
  </si>
  <si>
    <t>Infekcijske bolezni pri človeku</t>
  </si>
  <si>
    <t>Mänskliga infektionssjukdomar</t>
  </si>
  <si>
    <t>Infeksjonssykdommer hos mennesker</t>
  </si>
  <si>
    <t>PT23</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</si>
  <si>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</si>
  <si>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</si>
  <si>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</si>
  <si>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</si>
  <si>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</si>
  <si>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Human Cardiovascular Disorders</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</si>
  <si>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</si>
  <si>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</si>
  <si>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</si>
  <si>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</si>
  <si>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</si>
  <si>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</si>
  <si>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</si>
  <si>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</si>
  <si>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</si>
  <si>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t>Disturbi Kardjovaskulari Umani</t>
  </si>
  <si>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</si>
  <si>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</si>
  <si>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</si>
  <si>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</si>
  <si>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</si>
  <si>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</si>
  <si>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t>Hjärt-kärlproblem hos människa</t>
  </si>
  <si>
    <t>Hjerte- og karsykdommer hos mennesker</t>
  </si>
  <si>
    <t>PT24</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</si>
  <si>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</si>
  <si>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</si>
  <si>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</si>
  <si>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</si>
  <si>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</si>
  <si>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Human Nervous and Mental Disorders</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</si>
  <si>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</si>
  <si>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</si>
  <si>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</si>
  <si>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</si>
  <si>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</si>
  <si>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</si>
  <si>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</si>
  <si>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</si>
  <si>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</si>
  <si>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t>Disturbi Nervużi u Mentali Umani</t>
  </si>
  <si>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</si>
  <si>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</si>
  <si>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</si>
  <si>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</si>
  <si>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</si>
  <si>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</si>
  <si>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t>Neurologiska och mentala störningar hos människa</t>
  </si>
  <si>
    <t>Nervesykdommer og psykiske lidelser hos mennesker</t>
  </si>
  <si>
    <t>PT25</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</si>
  <si>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</si>
  <si>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</si>
  <si>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</si>
  <si>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</si>
  <si>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</si>
  <si>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Human Respiratory Disorders</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</si>
  <si>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</si>
  <si>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</si>
  <si>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</si>
  <si>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</si>
  <si>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</si>
  <si>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</si>
  <si>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</si>
  <si>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</si>
  <si>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</si>
  <si>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t>Disturbi Respiratorji Umani</t>
  </si>
  <si>
    <t>Respiratoire aandoeningen bij de mens</t>
  </si>
  <si>
    <t>Zaburzenia układu oddechowego u człowieka</t>
  </si>
  <si>
    <t>Patologias respiratórias humanas</t>
  </si>
  <si>
    <t>Boli respiratorii la om</t>
  </si>
  <si>
    <t>Ochorenia dýchacej sústavy u ľudí</t>
  </si>
  <si>
    <t>Bolezni dihal pri človeku</t>
  </si>
  <si>
    <t>Respiratoriska störningar hos människa</t>
  </si>
  <si>
    <t>Sykdommer i åndedrettsorganer hos mennesker</t>
  </si>
  <si>
    <t>PT26</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</si>
  <si>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</si>
  <si>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</si>
  <si>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</si>
  <si>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</si>
  <si>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</si>
  <si>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Human Gastrointestinal Disorders including Liver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</si>
  <si>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</si>
  <si>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</si>
  <si>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</si>
  <si>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</si>
  <si>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</si>
  <si>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</si>
  <si>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</si>
  <si>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</si>
  <si>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</si>
  <si>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t>Disturbi Gastrointestinali Umani inkluż il-Fwied</t>
  </si>
  <si>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</si>
  <si>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</si>
  <si>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</si>
  <si>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</si>
  <si>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</si>
  <si>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</si>
  <si>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t>Mag-tarmstörningar hos människa, inbegripet leverstörningar</t>
  </si>
  <si>
    <t>Sykdommer i mage- og tarmsystemet, herunder lever, hos mennesker</t>
  </si>
  <si>
    <t>PT27</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</si>
  <si>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</si>
  <si>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</si>
  <si>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</si>
  <si>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</si>
  <si>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</si>
  <si>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Human Musculoskeletal Disorders</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</si>
  <si>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</si>
  <si>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</si>
  <si>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</si>
  <si>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</si>
  <si>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</si>
  <si>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</si>
  <si>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</si>
  <si>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</si>
  <si>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</si>
  <si>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t>Disturbi Muskoskeletali Umani</t>
  </si>
  <si>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</si>
  <si>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</si>
  <si>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</si>
  <si>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</si>
  <si>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</si>
  <si>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</si>
  <si>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t>Störningar i rörelseapparaten (muskuloskeletala besvär) hos människa</t>
  </si>
  <si>
    <t>Muskel- og skjelettsykdommer hos mennesker</t>
  </si>
  <si>
    <t>PT28</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</si>
  <si>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</si>
  <si>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</si>
  <si>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</si>
  <si>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</si>
  <si>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</si>
  <si>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Human Immune Disorders</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</si>
  <si>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</si>
  <si>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</si>
  <si>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</si>
  <si>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</si>
  <si>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</si>
  <si>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</si>
  <si>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</si>
  <si>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</si>
  <si>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</si>
  <si>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t>Disturbi Immunitarji Umani</t>
  </si>
  <si>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</si>
  <si>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</si>
  <si>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</si>
  <si>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</si>
  <si>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</si>
  <si>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</si>
  <si>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t>Immunstörningar hos människa</t>
  </si>
  <si>
    <t>Immunsykdommer hos mennesker</t>
  </si>
  <si>
    <t>PT29</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</si>
  <si>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</si>
  <si>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</si>
  <si>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</si>
  <si>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</si>
  <si>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</si>
  <si>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Human Urogenital/Reproductive Disorders</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</si>
  <si>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</si>
  <si>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</si>
  <si>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</si>
  <si>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</si>
  <si>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</si>
  <si>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</si>
  <si>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</si>
  <si>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</si>
  <si>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</si>
  <si>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t>Disturbi Uroġenitali/Riproduttivi Umani</t>
  </si>
  <si>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</si>
  <si>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</si>
  <si>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</si>
  <si>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</si>
  <si>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</si>
  <si>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</si>
  <si>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t>Urogenitala störningar och fortplantningsstörningar hos människa</t>
  </si>
  <si>
    <t>Sykdommer i det urogenitale systemet/ forplantningssystemet hos mennesker</t>
  </si>
  <si>
    <t>PT30</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</si>
  <si>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</si>
  <si>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</si>
  <si>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</si>
  <si>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</si>
  <si>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</si>
  <si>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Human Sensory Organ Disorders (skin, eyes and ears)</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</si>
  <si>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</si>
  <si>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</si>
  <si>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</si>
  <si>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</si>
  <si>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</si>
  <si>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</si>
  <si>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</si>
  <si>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</si>
  <si>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</si>
  <si>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t>Disturbi fl-Organi Sensorji Umani (il-ġilda, l-għajnejn u l-widnejn)</t>
  </si>
  <si>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</si>
  <si>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</si>
  <si>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</si>
  <si>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</si>
  <si>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</si>
  <si>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</si>
  <si>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t>Störningar i sinnesorganen hos människa (hud, ögon och öron)</t>
  </si>
  <si>
    <t>Sykdommer i sanseorganer (hud, øyne og ører) hos mennesker</t>
  </si>
  <si>
    <t>PT31</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</si>
  <si>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</si>
  <si>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</si>
  <si>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</si>
  <si>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</si>
  <si>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</si>
  <si>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Human Endocrine/Metabolism Disorders</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</si>
  <si>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</si>
  <si>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</si>
  <si>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</si>
  <si>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</si>
  <si>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</si>
  <si>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</si>
  <si>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</si>
  <si>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</si>
  <si>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</si>
  <si>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t>Disturbi Endokrinali/fil-Metaboliżmu Uman</t>
  </si>
  <si>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</si>
  <si>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</si>
  <si>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</si>
  <si>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</si>
  <si>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</si>
  <si>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</si>
  <si>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t>Endokrina störningar och ämnesomsättningsrubbningar hos människa</t>
  </si>
  <si>
    <t>Endokrine sykdommer / stoffskiftesykdommer hos mennesker</t>
  </si>
  <si>
    <t>PT32</t>
  </si>
  <si>
    <t>Други смущения при човека</t>
  </si>
  <si>
    <t>Jiné poruchy u lidí</t>
  </si>
  <si>
    <t>Andre sygdomme hos mennesker</t>
  </si>
  <si>
    <t>Andere Humanerkrankungen</t>
  </si>
  <si>
    <t>Άλλες διαταραχές του ανθρώπου</t>
  </si>
  <si>
    <t>Other Human Disorders</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</si>
  <si>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</si>
  <si>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</si>
  <si>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</si>
  <si>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</si>
  <si>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</si>
  <si>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</si>
  <si>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</si>
  <si>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</si>
  <si>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</si>
  <si>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t>Disturbi Umani Oħra</t>
  </si>
  <si>
    <t>Andere aandoeningen van de mens</t>
  </si>
  <si>
    <t>Inne choroby człowieka</t>
  </si>
  <si>
    <t>Outras patologias humanas</t>
  </si>
  <si>
    <t>Alte boli la om</t>
  </si>
  <si>
    <t>Iné ochorenia u ľudí</t>
  </si>
  <si>
    <t>Druge bolezni pri človeku</t>
  </si>
  <si>
    <t>Andra störningar hos människa</t>
  </si>
  <si>
    <t>Andre sykdommer hos mennesker</t>
  </si>
  <si>
    <t>PT33</t>
  </si>
  <si>
    <t>Болести и смущения при животните</t>
  </si>
  <si>
    <t>Nákazy a poruchy u zvířat</t>
  </si>
  <si>
    <t>Dyresygdomme og -lidelser</t>
  </si>
  <si>
    <t>Tiererkrankungen und -krankheiten</t>
  </si>
  <si>
    <t>Ασθένειες και διαταραχές των ζώων</t>
  </si>
  <si>
    <t>Animal Diseases and Disorders</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</si>
  <si>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</si>
  <si>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</si>
  <si>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</si>
  <si>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</si>
  <si>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</si>
  <si>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</si>
  <si>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</si>
  <si>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</si>
  <si>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</si>
  <si>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t>Mard u Disturbi tal-Annimali</t>
  </si>
  <si>
    <t>Ziekten en aandoeningen van dieren</t>
  </si>
  <si>
    <t>Choroby i zaburzenia u zwierząt</t>
  </si>
  <si>
    <t>Patologias e perturbações dos animais</t>
  </si>
  <si>
    <t>Boli și afecțiuni la animale</t>
  </si>
  <si>
    <t>Ochorenia a poruchy zvierat</t>
  </si>
  <si>
    <t>Bolezni pri živalih</t>
  </si>
  <si>
    <t>Störningar och sjukdomar hos djur</t>
  </si>
  <si>
    <t>Dyresykdommer og -lidelser</t>
  </si>
  <si>
    <t>PT38</t>
  </si>
  <si>
    <t>Хранене на животните</t>
  </si>
  <si>
    <t>Výživa zvířat</t>
  </si>
  <si>
    <t>Dyreernæring</t>
  </si>
  <si>
    <t>Tierernährung</t>
  </si>
  <si>
    <t>Διατροφή των ζώων</t>
  </si>
  <si>
    <t>Animal Nutrition</t>
  </si>
  <si>
    <t>Nutrición animal</t>
  </si>
  <si>
    <t>Loomasöödad</t>
  </si>
  <si>
    <t>Eläinten ravitsemus</t>
  </si>
  <si>
    <t>Alimentation des animaux</t>
  </si>
  <si>
    <t>Prehrana životinja</t>
  </si>
  <si>
    <t>Takarmányozás</t>
  </si>
  <si>
    <t>Alimentazione animale</t>
  </si>
  <si>
    <t>Gyvūnų mityba</t>
  </si>
  <si>
    <t>Dzīvnieku ēdināšana</t>
  </si>
  <si>
    <t>Nutrizzjoni tal-Annimali</t>
  </si>
  <si>
    <t>Diervoeding</t>
  </si>
  <si>
    <t>Żywienie zwierząt</t>
  </si>
  <si>
    <t>Alimentação animal</t>
  </si>
  <si>
    <t>Nutriția animalelor</t>
  </si>
  <si>
    <t>Výživa zvierat</t>
  </si>
  <si>
    <t>Prehrana živali</t>
  </si>
  <si>
    <t>Foder</t>
  </si>
  <si>
    <t>Fôrvarer</t>
  </si>
  <si>
    <t>PT34</t>
  </si>
  <si>
    <t>Благосъстояние на животните</t>
  </si>
  <si>
    <t>Dobré životní podmínky zvířat</t>
  </si>
  <si>
    <t>Dyrevelfærd</t>
  </si>
  <si>
    <t>Tierschutz</t>
  </si>
  <si>
    <t>Καλή διαβίωση των ζώων</t>
  </si>
  <si>
    <t>Animal Welfare</t>
  </si>
  <si>
    <t>Bienestar de los animales</t>
  </si>
  <si>
    <t>Loomade heaolu</t>
  </si>
  <si>
    <t>Eläinten hyvinvointi</t>
  </si>
  <si>
    <t>Bien-être des animaux</t>
  </si>
  <si>
    <t>Dobrobit životinja</t>
  </si>
  <si>
    <t>Állatjóllét</t>
  </si>
  <si>
    <t>Benessere degli animali</t>
  </si>
  <si>
    <t>Gyvūnų gerovė</t>
  </si>
  <si>
    <t>Dzīvnieku labturība</t>
  </si>
  <si>
    <t>Benessri tal-Annimali</t>
  </si>
  <si>
    <t>Dierenwelzijn</t>
  </si>
  <si>
    <t>Dobrostan zwierząt</t>
  </si>
  <si>
    <t>Bem-estar dos animais</t>
  </si>
  <si>
    <t>Bunăstarea animalelor</t>
  </si>
  <si>
    <t>Dobré životné podmienky zvierat</t>
  </si>
  <si>
    <t>Dobrobit živali</t>
  </si>
  <si>
    <t>Djurskydd</t>
  </si>
  <si>
    <t>Dyrs velferd</t>
  </si>
  <si>
    <t>PT35</t>
  </si>
  <si>
    <t>Диагностика на заболяванията</t>
  </si>
  <si>
    <t>Diagnostika onemocnění</t>
  </si>
  <si>
    <t>Diagnosticering af sygdomme</t>
  </si>
  <si>
    <t>Krankheitsdiagnose</t>
  </si>
  <si>
    <t>Διάγνωση ασθενειών</t>
  </si>
  <si>
    <t>Diagnosis of Diseases</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</si>
  <si>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</si>
  <si>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</si>
  <si>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</si>
  <si>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</si>
  <si>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</si>
  <si>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</si>
  <si>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</si>
  <si>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</si>
  <si>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</si>
  <si>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t>Dijanjożi tal-Mard</t>
  </si>
  <si>
    <t>Diagnose van ziekten</t>
  </si>
  <si>
    <t>Diagnostyka chorób</t>
  </si>
  <si>
    <t>Diagnóstico de doenças</t>
  </si>
  <si>
    <t>Diagnosticarea bolilor</t>
  </si>
  <si>
    <t>Diagnostika ochorení</t>
  </si>
  <si>
    <t>Diagnostika bolezni</t>
  </si>
  <si>
    <t>Sjukdomsdiagnostik</t>
  </si>
  <si>
    <t>Diagnostisering av sykdommer</t>
  </si>
  <si>
    <t>PT36</t>
  </si>
  <si>
    <t>Болести по растенията</t>
  </si>
  <si>
    <t>Choroby rostlin</t>
  </si>
  <si>
    <t>Plantesygdomme</t>
  </si>
  <si>
    <t>Pflanzenkrankheiten</t>
  </si>
  <si>
    <t>Ασθένειες των φυτών</t>
  </si>
  <si>
    <t>Plant Diseases</t>
  </si>
  <si>
    <t>Enfermedades de las plantas</t>
  </si>
  <si>
    <t>Taimehaigused</t>
  </si>
  <si>
    <t>Kasvitaudit</t>
  </si>
  <si>
    <t>Maladies des végétaux</t>
  </si>
  <si>
    <t>Bolesti biljaka</t>
  </si>
  <si>
    <t>Növénybetegségek</t>
  </si>
  <si>
    <t>Malattie delle piante</t>
  </si>
  <si>
    <t>Augalų ligos</t>
  </si>
  <si>
    <t>Augu slimības</t>
  </si>
  <si>
    <t>Mard tal-Pjanti</t>
  </si>
  <si>
    <t>Plantenziekten</t>
  </si>
  <si>
    <t>Choroby roślin</t>
  </si>
  <si>
    <t>Doenças das plantas</t>
  </si>
  <si>
    <t>Boli ale plantelor</t>
  </si>
  <si>
    <t>Choroby rastlín</t>
  </si>
  <si>
    <t>Bolezni rastlin</t>
  </si>
  <si>
    <t>Växtsjukdomar</t>
  </si>
  <si>
    <t>Plantesykdommer</t>
  </si>
  <si>
    <t>PT37</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</si>
  <si>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</si>
  <si>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</si>
  <si>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</si>
  <si>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</si>
  <si>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</si>
  <si>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Non-regulatory Toxicology and Ecotoxicology</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</si>
  <si>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</si>
  <si>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</si>
  <si>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</si>
  <si>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</si>
  <si>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</si>
  <si>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</si>
  <si>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</si>
  <si>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</si>
  <si>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</si>
  <si>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t>Tossikoloġija u Ekotossikoloġija Mhux regolatorja</t>
  </si>
  <si>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</si>
  <si>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</si>
  <si>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</si>
  <si>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</si>
  <si>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</si>
  <si>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</si>
  <si>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t>Icke lagstadgad toxikologi och ekotoxikologi</t>
  </si>
  <si>
    <t>Ikke-regelverksbasert toksikologi og økotoksikologi</t>
  </si>
  <si>
    <t>PRQC</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</si>
  <si>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</si>
  <si>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</si>
  <si>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</si>
  <si>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</si>
  <si>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</si>
  <si>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Quality control (including batch safety and potency testing)</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</si>
  <si>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</si>
  <si>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</si>
  <si>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</si>
  <si>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</si>
  <si>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</si>
  <si>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</si>
  <si>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</si>
  <si>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</si>
  <si>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</si>
  <si>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t>Kontroll tal-kwalità (inkluż is-sikurezza tal-lott u l-ittestjar tal-potenza)</t>
  </si>
  <si>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</si>
  <si>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</si>
  <si>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</si>
  <si>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</si>
  <si>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</si>
  <si>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</si>
  <si>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t>Kvalitetskontroll (inkl. säkerhets- och effektivitetstester av tillverkningssatser)</t>
  </si>
  <si>
    <t>Kvalitetskontroll (herunder sikkerhetsprøving og styrkebestemmelse av partier)</t>
  </si>
  <si>
    <t>PR71</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</si>
  <si>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</si>
  <si>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</si>
  <si>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</si>
  <si>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</si>
  <si>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</si>
  <si>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Other efficacy and tolerance testing</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</si>
  <si>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</si>
  <si>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</si>
  <si>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</si>
  <si>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</si>
  <si>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</si>
  <si>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</si>
  <si>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</si>
  <si>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</si>
  <si>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</si>
  <si>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t>Ittestjar ieħor tal-effikaċja u tat-tolleranza</t>
  </si>
  <si>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</si>
  <si>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</si>
  <si>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</si>
  <si>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</si>
  <si>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</si>
  <si>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</si>
  <si>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t>Andra effektivitets- och toleranstester</t>
  </si>
  <si>
    <t>Andre forsøk for å kartlegge virkninger og toleranse</t>
  </si>
  <si>
    <t>PRTS</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</si>
  <si>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</si>
  <si>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</si>
  <si>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</si>
  <si>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</si>
  <si>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</si>
  <si>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Toxicity and other safety testing including pharmacology</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</si>
  <si>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</si>
  <si>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</si>
  <si>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</si>
  <si>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</si>
  <si>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</si>
  <si>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</si>
  <si>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</si>
  <si>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</si>
  <si>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</si>
  <si>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t>Tossiċità u ttestjar ieħor tas-sikurezza inkluża l-farmakoloġija</t>
  </si>
  <si>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</si>
  <si>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</si>
  <si>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</si>
  <si>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</si>
  <si>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</si>
  <si>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</si>
  <si>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t>Toxicitetstester och andra säkerhetstester som inbegriper farmakologi</t>
  </si>
  <si>
    <t>Giftighetsprøving og annen sikkerhetsprøving, herunder farmakologi</t>
  </si>
  <si>
    <t>PRRP</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</si>
  <si>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</si>
  <si>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</si>
  <si>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</si>
  <si>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</si>
  <si>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</si>
  <si>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Routine production by product type</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</si>
  <si>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</si>
  <si>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</si>
  <si>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</si>
  <si>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</si>
  <si>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</si>
  <si>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</si>
  <si>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</si>
  <si>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</si>
  <si>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</si>
  <si>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t>Produzzjoni ta’ rutina skont it-tip ta’ prodott</t>
  </si>
  <si>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</si>
  <si>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</si>
  <si>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</si>
  <si>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</si>
  <si>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</si>
  <si>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</si>
  <si>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t>Rutinmässig produktion efter produkttyp</t>
  </si>
  <si>
    <t>Rutineproduksjon etter produkttype</t>
  </si>
  <si>
    <t>choiceCode</t>
  </si>
  <si>
    <t>choiceTranslated</t>
  </si>
  <si>
    <t>choiceShown</t>
  </si>
  <si>
    <t>да</t>
  </si>
  <si>
    <t>ano</t>
  </si>
  <si>
    <t>ja</t>
  </si>
  <si>
    <t>Ja</t>
  </si>
  <si>
    <t>ναι</t>
  </si>
  <si>
    <t>yes</t>
  </si>
  <si>
    <t>sí</t>
  </si>
  <si>
    <t>Jah</t>
  </si>
  <si>
    <t>kyllä</t>
  </si>
  <si>
    <t>oui</t>
  </si>
  <si>
    <t>Da</t>
  </si>
  <si>
    <t>igen</t>
  </si>
  <si>
    <t>sì</t>
  </si>
  <si>
    <t>taip</t>
  </si>
  <si>
    <t>jā</t>
  </si>
  <si>
    <t>iva</t>
  </si>
  <si>
    <t>tak</t>
  </si>
  <si>
    <t>Sim</t>
  </si>
  <si>
    <t>áno</t>
  </si>
  <si>
    <t>не</t>
  </si>
  <si>
    <t>ne</t>
  </si>
  <si>
    <t>nej</t>
  </si>
  <si>
    <t>Nein</t>
  </si>
  <si>
    <t>όχι</t>
  </si>
  <si>
    <t>Ei</t>
  </si>
  <si>
    <t>ei</t>
  </si>
  <si>
    <t>non</t>
  </si>
  <si>
    <t>Ne</t>
  </si>
  <si>
    <t>nem</t>
  </si>
  <si>
    <t>nē</t>
  </si>
  <si>
    <t>le</t>
  </si>
  <si>
    <t>nee</t>
  </si>
  <si>
    <t>nie</t>
  </si>
  <si>
    <t>Não</t>
  </si>
  <si>
    <t>nu</t>
  </si>
  <si>
    <t>nei</t>
  </si>
  <si>
    <t>speciesCode</t>
  </si>
  <si>
    <t>speciesTranslated</t>
  </si>
  <si>
    <t>speciesShown</t>
  </si>
  <si>
    <t>scientific</t>
  </si>
  <si>
    <t>A1</t>
  </si>
  <si>
    <t>Мишки</t>
  </si>
  <si>
    <t>myš laboratorní</t>
  </si>
  <si>
    <t>Mus</t>
  </si>
  <si>
    <t>Mäuse</t>
  </si>
  <si>
    <t>Ποντικοί</t>
  </si>
  <si>
    <t>Mice</t>
  </si>
  <si>
    <t>Ratones</t>
  </si>
  <si>
    <t>Hiired</t>
  </si>
  <si>
    <t>Hiiret</t>
  </si>
  <si>
    <t>Souris</t>
  </si>
  <si>
    <t>Miševi</t>
  </si>
  <si>
    <t>Egér</t>
  </si>
  <si>
    <t>Topi</t>
  </si>
  <si>
    <t>Pelės</t>
  </si>
  <si>
    <t>Peles</t>
  </si>
  <si>
    <t>Ġrieden</t>
  </si>
  <si>
    <t>Muizen</t>
  </si>
  <si>
    <t>Myszy</t>
  </si>
  <si>
    <t>Murganho</t>
  </si>
  <si>
    <t>Șoareci</t>
  </si>
  <si>
    <t>Myši</t>
  </si>
  <si>
    <t>Miši</t>
  </si>
  <si>
    <t>Husmus</t>
  </si>
  <si>
    <t>Mus musculus</t>
  </si>
  <si>
    <t>A2</t>
  </si>
  <si>
    <t>Плъхове</t>
  </si>
  <si>
    <t>potkan laboratorní</t>
  </si>
  <si>
    <t>Rotte</t>
  </si>
  <si>
    <t>Ratten</t>
  </si>
  <si>
    <t>Επίμυες</t>
  </si>
  <si>
    <t>Rats</t>
  </si>
  <si>
    <t>Ratas</t>
  </si>
  <si>
    <t>Rotid</t>
  </si>
  <si>
    <t>Rotat</t>
  </si>
  <si>
    <t>Štakori</t>
  </si>
  <si>
    <t>Patkány</t>
  </si>
  <si>
    <t>Ratti</t>
  </si>
  <si>
    <t>Žiurkės</t>
  </si>
  <si>
    <t>Žurkas</t>
  </si>
  <si>
    <t>Firien</t>
  </si>
  <si>
    <t>Szczury</t>
  </si>
  <si>
    <t>Rato</t>
  </si>
  <si>
    <t>Șobolani</t>
  </si>
  <si>
    <t>Potkany</t>
  </si>
  <si>
    <t>Podgane</t>
  </si>
  <si>
    <t>Brunråtta</t>
  </si>
  <si>
    <t>Rattus norvegicus</t>
  </si>
  <si>
    <t>A3</t>
  </si>
  <si>
    <t>Морски свинчета</t>
  </si>
  <si>
    <t>morče domácí</t>
  </si>
  <si>
    <t>Marsvin</t>
  </si>
  <si>
    <t>Meerschweinchen</t>
  </si>
  <si>
    <t>Ινδικά χοιρίδια</t>
  </si>
  <si>
    <t>Guinea-Pigs</t>
  </si>
  <si>
    <t>Cobayas</t>
  </si>
  <si>
    <t>Merisead</t>
  </si>
  <si>
    <t>Marsut</t>
  </si>
  <si>
    <t>Cobayes</t>
  </si>
  <si>
    <t>Zamorci</t>
  </si>
  <si>
    <t>Tengerimalac</t>
  </si>
  <si>
    <t>Porcellini d'India</t>
  </si>
  <si>
    <t>Jūrų kiaulytės</t>
  </si>
  <si>
    <t>Jūrascūciņas</t>
  </si>
  <si>
    <t>Fniek tal-Indi</t>
  </si>
  <si>
    <t>Cavia’s</t>
  </si>
  <si>
    <t>Świnki morskie</t>
  </si>
  <si>
    <t>Cobaio</t>
  </si>
  <si>
    <t>Cobai</t>
  </si>
  <si>
    <t>Morčatá</t>
  </si>
  <si>
    <t>Morski prašički</t>
  </si>
  <si>
    <t>Cavia porcellus</t>
  </si>
  <si>
    <t>A4</t>
  </si>
  <si>
    <t>Сирийски (златни) хамстери</t>
  </si>
  <si>
    <t>křeček zlatý</t>
  </si>
  <si>
    <t>Guldhamster (syrisk hamster)</t>
  </si>
  <si>
    <t>Goldhamster</t>
  </si>
  <si>
    <t>Κρικητοί (συριακοί)</t>
  </si>
  <si>
    <t>Hamsters (Syrian)</t>
  </si>
  <si>
    <t>Hámsteres (sirios)</t>
  </si>
  <si>
    <t>Hamstrid (süüria)</t>
  </si>
  <si>
    <t>Kultahamsterit</t>
  </si>
  <si>
    <t>Hamsters (syriens)</t>
  </si>
  <si>
    <t>Hrčci (sirijski)</t>
  </si>
  <si>
    <t>Szíriai aranyhörcsög</t>
  </si>
  <si>
    <t>Criceti (siriani)</t>
  </si>
  <si>
    <t>Žiurkėnai (siriniai)</t>
  </si>
  <si>
    <t>Zeltainie kāmji</t>
  </si>
  <si>
    <t>Ħemsters (Sirjani)</t>
  </si>
  <si>
    <t>Syrische goudhamsters</t>
  </si>
  <si>
    <t>Chomiki (syryjskie)</t>
  </si>
  <si>
    <t>Hámster-dourado (sírio)</t>
  </si>
  <si>
    <t>Hamsteri (sirieni)</t>
  </si>
  <si>
    <t>Škrečok sýrsky</t>
  </si>
  <si>
    <t>Sirski (zlati) hrčki</t>
  </si>
  <si>
    <t>Guldhamster</t>
  </si>
  <si>
    <t>Gullhamster</t>
  </si>
  <si>
    <t>Mesocricetus auratus</t>
  </si>
  <si>
    <t>A5</t>
  </si>
  <si>
    <t>Китайски хамстери</t>
  </si>
  <si>
    <t>křečík čínský</t>
  </si>
  <si>
    <t>Kinesisk hamster</t>
  </si>
  <si>
    <t>Chinesische Grauhamster</t>
  </si>
  <si>
    <t>Κρικητοί (κινεζικοί)</t>
  </si>
  <si>
    <t>Hamsters (Chinese)</t>
  </si>
  <si>
    <t>Hámsteres enanos (chinos)</t>
  </si>
  <si>
    <t>Hamstrid (hiina)</t>
  </si>
  <si>
    <t>Kiinankääpiöhamsterit</t>
  </si>
  <si>
    <t>Hamsters (chinois)</t>
  </si>
  <si>
    <t>Hrčci (kineski)</t>
  </si>
  <si>
    <t>Kínai törpehörcsög</t>
  </si>
  <si>
    <t>Criceti (cinesi)</t>
  </si>
  <si>
    <t>Žiurkėnai (kininiai)</t>
  </si>
  <si>
    <t>Ķīnas kāmji</t>
  </si>
  <si>
    <t>Ħemsters (Ċiniżi)</t>
  </si>
  <si>
    <t>Chinese dwerghamsters</t>
  </si>
  <si>
    <t>Chomiki (chińskie)</t>
  </si>
  <si>
    <t>Hámster-chinês</t>
  </si>
  <si>
    <t>Hamsteri (chinezești)</t>
  </si>
  <si>
    <t>Škrečok čínsky</t>
  </si>
  <si>
    <t>Kitajski hrčki</t>
  </si>
  <si>
    <t>Kinesisk dvärghamster</t>
  </si>
  <si>
    <t>Cricetulus griseus</t>
  </si>
  <si>
    <t>A6</t>
  </si>
  <si>
    <t>Монголски песчанки</t>
  </si>
  <si>
    <t>pískomil mongolský</t>
  </si>
  <si>
    <t>Ørkenrotte</t>
  </si>
  <si>
    <t>Mongolische Rennmäuse</t>
  </si>
  <si>
    <t>Γερβίλοι της Μογγολίας</t>
  </si>
  <si>
    <t>Mongolian gerbil</t>
  </si>
  <si>
    <t>Gerbos de Mongolia</t>
  </si>
  <si>
    <t>Mongoolia liivahiir</t>
  </si>
  <si>
    <t>Gerbiilit</t>
  </si>
  <si>
    <t>Gerbilles de Mongolie</t>
  </si>
  <si>
    <t>Mongolski skočimiš</t>
  </si>
  <si>
    <t>Mongol futóegér</t>
  </si>
  <si>
    <t>Gerbilli della Mongolia</t>
  </si>
  <si>
    <t>Mongolinės smiltpelės</t>
  </si>
  <si>
    <t>Smilšu peles</t>
  </si>
  <si>
    <t>Ġerbill tal-Mongolja</t>
  </si>
  <si>
    <t>Mongoolse gerbils</t>
  </si>
  <si>
    <t>Myszoskoczek mongolski</t>
  </si>
  <si>
    <t>Gerbo-da-mongólia</t>
  </si>
  <si>
    <t>Gerbil mongol</t>
  </si>
  <si>
    <t>Pieskomil mongolský</t>
  </si>
  <si>
    <t>Mongolske puščavske podgane</t>
  </si>
  <si>
    <t>Vanlig ökenråtta (gerbil)</t>
  </si>
  <si>
    <t>Meriones unguiculatus</t>
  </si>
  <si>
    <t>A7</t>
  </si>
  <si>
    <t>Други гризачи</t>
  </si>
  <si>
    <t>ostatní hlodavci</t>
  </si>
  <si>
    <t>Andre gnavere</t>
  </si>
  <si>
    <t>Andere Nager</t>
  </si>
  <si>
    <t>Λοιπά τρωκτικά</t>
  </si>
  <si>
    <t>Other rodents</t>
  </si>
  <si>
    <t>Otros roedores</t>
  </si>
  <si>
    <t>Muud närilised</t>
  </si>
  <si>
    <t>Muut jyrsijät</t>
  </si>
  <si>
    <t>Autres rongeurs</t>
  </si>
  <si>
    <t>Drugi glodavci</t>
  </si>
  <si>
    <t>Egyéb rágcsálók</t>
  </si>
  <si>
    <t>Altri roditori</t>
  </si>
  <si>
    <t>Kiti graužikai</t>
  </si>
  <si>
    <t>Citi grauzēji</t>
  </si>
  <si>
    <t>Rodituri oħra</t>
  </si>
  <si>
    <t>Andere knaagdieren</t>
  </si>
  <si>
    <t>Inne gryzonie</t>
  </si>
  <si>
    <t>Outros roedores</t>
  </si>
  <si>
    <t>Alte rozătoare</t>
  </si>
  <si>
    <t>Iné hlodavce</t>
  </si>
  <si>
    <t>Andra gnagare</t>
  </si>
  <si>
    <t>Andre gnagere</t>
  </si>
  <si>
    <t>other Rodentia</t>
  </si>
  <si>
    <t>A8</t>
  </si>
  <si>
    <t>Зайци</t>
  </si>
  <si>
    <t>králík domácí</t>
  </si>
  <si>
    <t>Kanin</t>
  </si>
  <si>
    <t>Kaninchen</t>
  </si>
  <si>
    <t>Κουνέλια</t>
  </si>
  <si>
    <t>Rabbits</t>
  </si>
  <si>
    <t>Conejos</t>
  </si>
  <si>
    <t>Küülikud</t>
  </si>
  <si>
    <t>Kanit</t>
  </si>
  <si>
    <t>Lapins</t>
  </si>
  <si>
    <t>Kunići</t>
  </si>
  <si>
    <t>Nyúl</t>
  </si>
  <si>
    <t>Conigli</t>
  </si>
  <si>
    <t>Triušiai</t>
  </si>
  <si>
    <t>Truši</t>
  </si>
  <si>
    <t>Fniek</t>
  </si>
  <si>
    <t>Konijnen</t>
  </si>
  <si>
    <t>Króliki</t>
  </si>
  <si>
    <t>Coelho</t>
  </si>
  <si>
    <t>Iepuri</t>
  </si>
  <si>
    <t>Králiky</t>
  </si>
  <si>
    <t>Kunci</t>
  </si>
  <si>
    <t>Oryctolagus cuniculus</t>
  </si>
  <si>
    <t>A9</t>
  </si>
  <si>
    <t>Котки</t>
  </si>
  <si>
    <t>kočka domácí</t>
  </si>
  <si>
    <t>Kat</t>
  </si>
  <si>
    <t>Katzen</t>
  </si>
  <si>
    <t>Γάτες</t>
  </si>
  <si>
    <t>Cats</t>
  </si>
  <si>
    <t>Gatos</t>
  </si>
  <si>
    <t>Kassid</t>
  </si>
  <si>
    <t>Kissat</t>
  </si>
  <si>
    <t>Chats</t>
  </si>
  <si>
    <t>Mačke</t>
  </si>
  <si>
    <t>Macska</t>
  </si>
  <si>
    <t>Gatti</t>
  </si>
  <si>
    <t>Katės</t>
  </si>
  <si>
    <t>Kaķi</t>
  </si>
  <si>
    <t>Qtates</t>
  </si>
  <si>
    <t>Katten</t>
  </si>
  <si>
    <t>Koty</t>
  </si>
  <si>
    <t>Gato</t>
  </si>
  <si>
    <t>Pisici</t>
  </si>
  <si>
    <t>Mačky</t>
  </si>
  <si>
    <t>Katt</t>
  </si>
  <si>
    <t>Felis catus</t>
  </si>
  <si>
    <t>A10</t>
  </si>
  <si>
    <t>Кучета</t>
  </si>
  <si>
    <t>pes domácí</t>
  </si>
  <si>
    <t>Hund</t>
  </si>
  <si>
    <t>Hunde</t>
  </si>
  <si>
    <t>Σκύλοι</t>
  </si>
  <si>
    <t>Dogs</t>
  </si>
  <si>
    <t>Perros</t>
  </si>
  <si>
    <t>Koerad</t>
  </si>
  <si>
    <t>Koirat</t>
  </si>
  <si>
    <t>Chiens</t>
  </si>
  <si>
    <t>Psi</t>
  </si>
  <si>
    <t>Kutya</t>
  </si>
  <si>
    <t>Cani</t>
  </si>
  <si>
    <t>Šunys</t>
  </si>
  <si>
    <t>Suņi</t>
  </si>
  <si>
    <t>Klieb</t>
  </si>
  <si>
    <t>Honden</t>
  </si>
  <si>
    <t>Psy</t>
  </si>
  <si>
    <t>Cão</t>
  </si>
  <si>
    <t>Câini</t>
  </si>
  <si>
    <t>Canis familiaris</t>
  </si>
  <si>
    <t>A11</t>
  </si>
  <si>
    <t>Порове</t>
  </si>
  <si>
    <t>fretky</t>
  </si>
  <si>
    <t>Fritter</t>
  </si>
  <si>
    <t>Frettchen</t>
  </si>
  <si>
    <t>Νυφίτσες</t>
  </si>
  <si>
    <t>Ferrets</t>
  </si>
  <si>
    <t>Hurones</t>
  </si>
  <si>
    <t>Valgetuhkrud</t>
  </si>
  <si>
    <t>Hillerit ja fretit</t>
  </si>
  <si>
    <t>Furets</t>
  </si>
  <si>
    <t>Pitome vretice</t>
  </si>
  <si>
    <t>Vadászgörény</t>
  </si>
  <si>
    <t>Furetti</t>
  </si>
  <si>
    <t>Šeškai</t>
  </si>
  <si>
    <t>Mājas seski</t>
  </si>
  <si>
    <t>Nemsijiet</t>
  </si>
  <si>
    <t>Fretten</t>
  </si>
  <si>
    <t>Fretki</t>
  </si>
  <si>
    <t>Furão</t>
  </si>
  <si>
    <t>Dihori</t>
  </si>
  <si>
    <t>Fretky</t>
  </si>
  <si>
    <t>Beli dihurji</t>
  </si>
  <si>
    <t>Iller</t>
  </si>
  <si>
    <t>Ilder</t>
  </si>
  <si>
    <t>Mustela putorius furo</t>
  </si>
  <si>
    <t>A12</t>
  </si>
  <si>
    <t>Други хищници</t>
  </si>
  <si>
    <t>jiní masožravci</t>
  </si>
  <si>
    <t>Andre rovdyr</t>
  </si>
  <si>
    <t>Andere Fleischfresser</t>
  </si>
  <si>
    <t>Άλλα σαρκοφάγα</t>
  </si>
  <si>
    <t>Other carnivores</t>
  </si>
  <si>
    <t>Otros carnívoros</t>
  </si>
  <si>
    <t>Muud kiskjalised</t>
  </si>
  <si>
    <t>Muut lihansyöjät</t>
  </si>
  <si>
    <t>Autres carnivores</t>
  </si>
  <si>
    <t>Drugi mesožderi</t>
  </si>
  <si>
    <t>Egyéb ragadozók</t>
  </si>
  <si>
    <t>Altri carnivori</t>
  </si>
  <si>
    <t>Kiti plėšrūnai</t>
  </si>
  <si>
    <t>Citi gaļēdāji</t>
  </si>
  <si>
    <t>Karnivori oħrajn</t>
  </si>
  <si>
    <t>Andere roofdieren</t>
  </si>
  <si>
    <t>Inne zwierzęta drapieżne</t>
  </si>
  <si>
    <t>Outros carnívoros</t>
  </si>
  <si>
    <t>Alte carnivore</t>
  </si>
  <si>
    <t>Iné mäsožravce</t>
  </si>
  <si>
    <t>Druge mesojede živali</t>
  </si>
  <si>
    <t>Andra rovdjur</t>
  </si>
  <si>
    <t>Andre kjøttetere</t>
  </si>
  <si>
    <t>other Carnivora</t>
  </si>
  <si>
    <t>A13</t>
  </si>
  <si>
    <t>Коне, магарета и кръстоски</t>
  </si>
  <si>
    <t>koně, osli a kříženci</t>
  </si>
  <si>
    <t>Dyr af hestefamilien</t>
  </si>
  <si>
    <t>Pferde, Esel und Kreuzungen</t>
  </si>
  <si>
    <t>Ίπποι, όνοι και διασταυρώσεις</t>
  </si>
  <si>
    <t>Horses, donkeys and cross-breeds</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</si>
  <si>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</si>
  <si>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</si>
  <si>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</si>
  <si>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</si>
  <si>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</si>
  <si>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</si>
  <si>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</si>
  <si>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</si>
  <si>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</si>
  <si>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t>Żwiemel, ħmir u razez imħallta</t>
  </si>
  <si>
    <t>Paarden, ezels en kruisingen daarvan</t>
  </si>
  <si>
    <t>Konie, osły i ich mieszańce</t>
  </si>
  <si>
    <t>Cavalo, burro e híbridos</t>
  </si>
  <si>
    <t>Cai, măgari și hibrizi</t>
  </si>
  <si>
    <t>Kone, somáre a ich krížence</t>
  </si>
  <si>
    <t>Konji, osli in križanci</t>
  </si>
  <si>
    <t>Hästar, åsnor och korsningar</t>
  </si>
  <si>
    <t>Hest, esel og krysningsavkom</t>
  </si>
  <si>
    <t>Equidae</t>
  </si>
  <si>
    <t>A14</t>
  </si>
  <si>
    <t>Свине</t>
  </si>
  <si>
    <t>prasata</t>
  </si>
  <si>
    <t>Svin</t>
  </si>
  <si>
    <t>Schweine</t>
  </si>
  <si>
    <t>Χοίροι</t>
  </si>
  <si>
    <t>Pigs</t>
  </si>
  <si>
    <t>Cerdos</t>
  </si>
  <si>
    <t>Sead</t>
  </si>
  <si>
    <t>Siat</t>
  </si>
  <si>
    <t>Porcs</t>
  </si>
  <si>
    <t>Svinje</t>
  </si>
  <si>
    <t>Sertés</t>
  </si>
  <si>
    <t>Suini</t>
  </si>
  <si>
    <t>Kiaulės</t>
  </si>
  <si>
    <t>Cūkas</t>
  </si>
  <si>
    <t>Ħnieżer</t>
  </si>
  <si>
    <t>Varkens</t>
  </si>
  <si>
    <t>Świnie</t>
  </si>
  <si>
    <t>Porco</t>
  </si>
  <si>
    <t>Porcine</t>
  </si>
  <si>
    <t>Ošípané</t>
  </si>
  <si>
    <t>Prašiči</t>
  </si>
  <si>
    <t>Gris</t>
  </si>
  <si>
    <t>Sus scrofa domesticus</t>
  </si>
  <si>
    <t>A15</t>
  </si>
  <si>
    <t>Кози</t>
  </si>
  <si>
    <t>kozy</t>
  </si>
  <si>
    <t>Geder</t>
  </si>
  <si>
    <t>Ziegen</t>
  </si>
  <si>
    <t>Αιγοειδή</t>
  </si>
  <si>
    <t>Goats</t>
  </si>
  <si>
    <t>Cabras</t>
  </si>
  <si>
    <t>Kitsed</t>
  </si>
  <si>
    <t>Vuohet</t>
  </si>
  <si>
    <t>Caprins</t>
  </si>
  <si>
    <t>Koze</t>
  </si>
  <si>
    <t>Kecske</t>
  </si>
  <si>
    <t>Capre</t>
  </si>
  <si>
    <t>Ožkos</t>
  </si>
  <si>
    <t>Kazas</t>
  </si>
  <si>
    <t>Mogħoż</t>
  </si>
  <si>
    <t>Geiten</t>
  </si>
  <si>
    <t>Kozy</t>
  </si>
  <si>
    <t>Caprinos</t>
  </si>
  <si>
    <t>Caprine</t>
  </si>
  <si>
    <t>Get</t>
  </si>
  <si>
    <t>Geit</t>
  </si>
  <si>
    <t>Capra aegagrus hircus</t>
  </si>
  <si>
    <t>A16</t>
  </si>
  <si>
    <t>Овце</t>
  </si>
  <si>
    <t>ovce</t>
  </si>
  <si>
    <t>Får</t>
  </si>
  <si>
    <t>Schafe</t>
  </si>
  <si>
    <t>Προβατοειδή</t>
  </si>
  <si>
    <t>Sheep</t>
  </si>
  <si>
    <t>Ovejas</t>
  </si>
  <si>
    <t>Lambad</t>
  </si>
  <si>
    <t>Lampaat</t>
  </si>
  <si>
    <t>Ovins</t>
  </si>
  <si>
    <t>Ovce</t>
  </si>
  <si>
    <t>Juh</t>
  </si>
  <si>
    <t>Pecore</t>
  </si>
  <si>
    <t>Avys</t>
  </si>
  <si>
    <t>Aitas</t>
  </si>
  <si>
    <t>Nagħaġ</t>
  </si>
  <si>
    <t>Schapen</t>
  </si>
  <si>
    <t>Owce</t>
  </si>
  <si>
    <t>Ovinos</t>
  </si>
  <si>
    <t>Ovine</t>
  </si>
  <si>
    <t>Sau</t>
  </si>
  <si>
    <t>Ovis aries</t>
  </si>
  <si>
    <t>A17</t>
  </si>
  <si>
    <t>Едър рогат добитък</t>
  </si>
  <si>
    <t>skot</t>
  </si>
  <si>
    <t>Kvæg</t>
  </si>
  <si>
    <t>Rinder</t>
  </si>
  <si>
    <t>Βοοειδή</t>
  </si>
  <si>
    <t>Cattle</t>
  </si>
  <si>
    <t>Bovinos</t>
  </si>
  <si>
    <t>Veised</t>
  </si>
  <si>
    <t>Nautaeläimet</t>
  </si>
  <si>
    <t>Bovins</t>
  </si>
  <si>
    <t>Goveda</t>
  </si>
  <si>
    <t>Szarvasmarha</t>
  </si>
  <si>
    <t>Bovini</t>
  </si>
  <si>
    <t>Galvijai</t>
  </si>
  <si>
    <t>Liellopi</t>
  </si>
  <si>
    <t>Frat</t>
  </si>
  <si>
    <t>Runderen</t>
  </si>
  <si>
    <t>Bydło</t>
  </si>
  <si>
    <t>Bovine</t>
  </si>
  <si>
    <t>Hovädzí dobytok</t>
  </si>
  <si>
    <t>Govedo</t>
  </si>
  <si>
    <t>Nötkreatur</t>
  </si>
  <si>
    <t>Storfe</t>
  </si>
  <si>
    <t>Bos taurus</t>
  </si>
  <si>
    <t>A18</t>
  </si>
  <si>
    <t>Полумаймуни</t>
  </si>
  <si>
    <t>poloopice</t>
  </si>
  <si>
    <t>Halvaber</t>
  </si>
  <si>
    <t>Halbaffen</t>
  </si>
  <si>
    <t>Προπίθηκοι</t>
  </si>
  <si>
    <t>Prosimians</t>
  </si>
  <si>
    <t>Prosimios</t>
  </si>
  <si>
    <t>Poolahvilised</t>
  </si>
  <si>
    <t>Puoliapinat</t>
  </si>
  <si>
    <t>Prosimiens</t>
  </si>
  <si>
    <t>Polumajmuni</t>
  </si>
  <si>
    <t>Félmajmok</t>
  </si>
  <si>
    <t>Proscimmie</t>
  </si>
  <si>
    <t>Pusbeždžionės</t>
  </si>
  <si>
    <t>Puspērtiķi</t>
  </si>
  <si>
    <t>Prosimiiformi</t>
  </si>
  <si>
    <t>Halfapen</t>
  </si>
  <si>
    <t>Małpiatki</t>
  </si>
  <si>
    <t>Prossímios</t>
  </si>
  <si>
    <t>Prosimieni</t>
  </si>
  <si>
    <t>Poloopice</t>
  </si>
  <si>
    <t>Prosimiji</t>
  </si>
  <si>
    <t>Halvapor</t>
  </si>
  <si>
    <r>
      <rPr>
        <sz val="11"/>
        <rFont val="Calibri"/>
        <family val="2"/>
        <charset val="1"/>
      </rPr>
      <t>Halvaper (</t>
    </r>
    <r>
      <rPr>
        <i/>
        <sz val="11"/>
        <rFont val="Calibri"/>
        <family val="2"/>
        <charset val="1"/>
      </rPr>
      <t>Promisia</t>
    </r>
    <r>
      <rPr>
        <sz val="11"/>
        <rFont val="Calibri"/>
        <family val="2"/>
        <charset val="1"/>
      </rPr>
      <t>)</t>
    </r>
  </si>
  <si>
    <t>Prosimia</t>
  </si>
  <si>
    <t>A19</t>
  </si>
  <si>
    <t>Мармозетки и тамарини</t>
  </si>
  <si>
    <t>kosmani a tamaríni</t>
  </si>
  <si>
    <t>Silkeabe og tamariner</t>
  </si>
  <si>
    <t>Marmosetten und Tamarine</t>
  </si>
  <si>
    <t>Καλλιτριχίδες (μάρμοζετ) και ταμαρίνοι</t>
  </si>
  <si>
    <t>Marmoset and tamarins</t>
  </si>
  <si>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</si>
  <si>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</si>
  <si>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</si>
  <si>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</si>
  <si>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</si>
  <si>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</si>
  <si>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</si>
  <si>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</si>
  <si>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</si>
  <si>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t>Marmosetti u tamarini</t>
  </si>
  <si>
    <t>Klauwaapjes</t>
  </si>
  <si>
    <t>Marmozety i tamaryny</t>
  </si>
  <si>
    <t>Saguis</t>
  </si>
  <si>
    <t>Marmoseți și tamarini</t>
  </si>
  <si>
    <t>Opice čeľade kosmáčovité</t>
  </si>
  <si>
    <t>Marmozetke in tamarinke</t>
  </si>
  <si>
    <t>Silkesapor och tamariner</t>
  </si>
  <si>
    <t>Silkeaper og tamariner</t>
  </si>
  <si>
    <t>Callithrix jacchus</t>
  </si>
  <si>
    <t>A20</t>
  </si>
  <si>
    <t>Дългоопашат макак</t>
  </si>
  <si>
    <t>makak jávský</t>
  </si>
  <si>
    <t>Java-makak</t>
  </si>
  <si>
    <t>Javaneraffen</t>
  </si>
  <si>
    <t>Μακάκοι καβουροφάγοι</t>
  </si>
  <si>
    <t>Cynomolgus monkey</t>
  </si>
  <si>
    <t>Macacos cangrejeros</t>
  </si>
  <si>
    <t>Jaava makaak</t>
  </si>
  <si>
    <t>Jaavanmakaki</t>
  </si>
  <si>
    <t>Singes cynomolgus</t>
  </si>
  <si>
    <t>Javanski makaki</t>
  </si>
  <si>
    <t>Közönséges makákó</t>
  </si>
  <si>
    <t>Macachi di Giava</t>
  </si>
  <si>
    <t>Krabaėdės makakos</t>
  </si>
  <si>
    <t>Garastes makaki</t>
  </si>
  <si>
    <t>Xadina Cynomolgus</t>
  </si>
  <si>
    <t>Java-apen</t>
  </si>
  <si>
    <t>Makak jawajski</t>
  </si>
  <si>
    <t>Macaco-caranguejeiro</t>
  </si>
  <si>
    <t>Maimuțe cynomolgus</t>
  </si>
  <si>
    <t>Makak jávsky</t>
  </si>
  <si>
    <t>Javanski makak</t>
  </si>
  <si>
    <t>Krabbmakak</t>
  </si>
  <si>
    <t>Krabbemakak</t>
  </si>
  <si>
    <t>Macaca fascicularis</t>
  </si>
  <si>
    <t>A21</t>
  </si>
  <si>
    <t>Макак резус</t>
  </si>
  <si>
    <r>
      <rPr>
        <sz val="11"/>
        <rFont val="Calibri"/>
        <family val="2"/>
        <charset val="1"/>
      </rPr>
      <t xml:space="preserve">makak </t>
    </r>
    <r>
      <rPr>
        <i/>
        <sz val="11"/>
        <rFont val="Calibri"/>
        <family val="2"/>
        <charset val="1"/>
      </rPr>
      <t>rhesus</t>
    </r>
  </si>
  <si>
    <t>Rhesusabe</t>
  </si>
  <si>
    <t>Rhesusaffen</t>
  </si>
  <si>
    <t>Πίθηκοι ρήσους ή ρέζους</t>
  </si>
  <si>
    <t>Rhesus monkey</t>
  </si>
  <si>
    <t>Macacos Rhesus</t>
  </si>
  <si>
    <t>Reesusmakaak</t>
  </si>
  <si>
    <t>Reesusapina</t>
  </si>
  <si>
    <t>Singes rhésus</t>
  </si>
  <si>
    <t>Rezus makaki</t>
  </si>
  <si>
    <t>Rhesusmajom</t>
  </si>
  <si>
    <t>Macachi resi</t>
  </si>
  <si>
    <t>Rezusai</t>
  </si>
  <si>
    <t>Rēzus makaki</t>
  </si>
  <si>
    <t>Xadina Rhesus</t>
  </si>
  <si>
    <t>Rhesusapen</t>
  </si>
  <si>
    <t>Makak rezus</t>
  </si>
  <si>
    <t>Macaco-rhesus</t>
  </si>
  <si>
    <t>Maimuțe rhesus</t>
  </si>
  <si>
    <t>Makak rézus</t>
  </si>
  <si>
    <t>Rezus</t>
  </si>
  <si>
    <t>Rhesusapa</t>
  </si>
  <si>
    <t>Rhesusape</t>
  </si>
  <si>
    <t>Macaca mulatta</t>
  </si>
  <si>
    <t>A22</t>
  </si>
  <si>
    <t>Гриветки (Chlorocebus spp.)</t>
  </si>
  <si>
    <r>
      <rPr>
        <sz val="11"/>
        <rFont val="Calibri"/>
        <family val="2"/>
        <charset val="1"/>
      </rPr>
      <t xml:space="preserve">kočkodani rodu </t>
    </r>
    <r>
      <rPr>
        <i/>
        <sz val="11"/>
        <rFont val="Calibri"/>
        <family val="2"/>
        <charset val="1"/>
      </rPr>
      <t>Chlorocebus spp.</t>
    </r>
  </si>
  <si>
    <t>Marekat (Chlorocebus spp.)</t>
  </si>
  <si>
    <t>Grüne Meerkatzen (Chlorocebus spp.)</t>
  </si>
  <si>
    <t>Κερκοπίθηκοι/Χλωρόκηβοι</t>
  </si>
  <si>
    <t>Vervets (Chlorocebus spp.)</t>
  </si>
  <si>
    <t>Macacos verdes (Chlorocebus spp.)</t>
  </si>
  <si>
    <r>
      <rPr>
        <sz val="11"/>
        <rFont val="Calibri"/>
        <family val="2"/>
        <charset val="1"/>
      </rPr>
      <t>Pärdikud (</t>
    </r>
    <r>
      <rPr>
        <i/>
        <sz val="11"/>
        <rFont val="Calibri"/>
        <family val="2"/>
        <charset val="1"/>
      </rPr>
      <t>Chlorocebus</t>
    </r>
    <r>
      <rPr>
        <sz val="11"/>
        <rFont val="Calibri"/>
        <family val="2"/>
        <charset val="1"/>
      </rPr>
      <t xml:space="preserve"> spp.)</t>
    </r>
  </si>
  <si>
    <t>Vervetit (Chlorocebus spp.)</t>
  </si>
  <si>
    <t>Vervet majmuni (Chlorocebus spp.)</t>
  </si>
  <si>
    <t>Cerkófmajom (Chlorocebus spp.)</t>
  </si>
  <si>
    <r>
      <rPr>
        <sz val="11"/>
        <rFont val="Calibri"/>
        <family val="2"/>
        <charset val="1"/>
      </rPr>
      <t>Cercopitechi (</t>
    </r>
    <r>
      <rPr>
        <i/>
        <sz val="11"/>
        <rFont val="Calibri"/>
        <family val="2"/>
        <charset val="1"/>
      </rPr>
      <t>Chlorocebus spp.</t>
    </r>
    <r>
      <rPr>
        <sz val="11"/>
        <rFont val="Calibri"/>
        <family val="2"/>
        <charset val="1"/>
      </rPr>
      <t>)</t>
    </r>
  </si>
  <si>
    <r>
      <rPr>
        <sz val="11"/>
        <rFont val="Calibri"/>
        <family val="2"/>
        <charset val="1"/>
      </rPr>
      <t>Markatos (</t>
    </r>
    <r>
      <rPr>
        <i/>
        <sz val="11"/>
        <rFont val="Calibri"/>
        <family val="2"/>
        <charset val="1"/>
      </rPr>
      <t>Chlorocebus spp.</t>
    </r>
    <r>
      <rPr>
        <sz val="11"/>
        <rFont val="Calibri"/>
        <family val="2"/>
        <charset val="1"/>
      </rPr>
      <t>)</t>
    </r>
  </si>
  <si>
    <r>
      <rPr>
        <sz val="11"/>
        <rFont val="Calibri"/>
        <family val="2"/>
        <charset val="1"/>
      </rPr>
      <t>Zaļie mērkaķi (</t>
    </r>
    <r>
      <rPr>
        <i/>
        <sz val="11"/>
        <rFont val="Calibri"/>
        <family val="2"/>
        <charset val="1"/>
      </rPr>
      <t>Chlorocebus</t>
    </r>
    <r>
      <rPr>
        <sz val="11"/>
        <rFont val="Calibri"/>
        <family val="2"/>
        <charset val="1"/>
      </rPr>
      <t xml:space="preserve"> spp.)</t>
    </r>
  </si>
  <si>
    <t>Vervetti (Chlorocebus spp.)</t>
  </si>
  <si>
    <r>
      <rPr>
        <sz val="11"/>
        <rFont val="Calibri"/>
        <family val="2"/>
        <charset val="1"/>
      </rPr>
      <t>Meerkatten (</t>
    </r>
    <r>
      <rPr>
        <i/>
        <sz val="11"/>
        <rFont val="Calibri"/>
        <family val="2"/>
        <charset val="1"/>
      </rPr>
      <t>Chlorocebus</t>
    </r>
    <r>
      <rPr>
        <sz val="11"/>
        <rFont val="Calibri"/>
        <family val="2"/>
        <charset val="1"/>
      </rPr>
      <t xml:space="preserve"> spp.)</t>
    </r>
  </si>
  <si>
    <t>Koczkodany (Chlorocebus spp.)</t>
  </si>
  <si>
    <r>
      <rPr>
        <sz val="11"/>
        <rFont val="Calibri"/>
        <family val="2"/>
        <charset val="1"/>
      </rPr>
      <t xml:space="preserve">Macacos </t>
    </r>
    <r>
      <rPr>
        <i/>
        <sz val="11"/>
        <rFont val="Calibri"/>
        <family val="2"/>
        <charset val="1"/>
      </rPr>
      <t>Chlorocebus</t>
    </r>
    <r>
      <rPr>
        <sz val="11"/>
        <rFont val="Calibri"/>
        <family val="2"/>
        <charset val="1"/>
      </rPr>
      <t xml:space="preserve"> spp.</t>
    </r>
  </si>
  <si>
    <r>
      <rPr>
        <sz val="11"/>
        <rFont val="Calibri"/>
        <family val="2"/>
        <charset val="1"/>
      </rPr>
      <t>Maimuțe verzi africane (</t>
    </r>
    <r>
      <rPr>
        <i/>
        <sz val="11"/>
        <rFont val="Calibri"/>
        <family val="2"/>
        <charset val="1"/>
      </rPr>
      <t>Chlorocebus</t>
    </r>
    <r>
      <rPr>
        <sz val="11"/>
        <rFont val="Calibri"/>
        <family val="2"/>
        <charset val="1"/>
      </rPr>
      <t xml:space="preserve"> spp.)</t>
    </r>
  </si>
  <si>
    <t>Mačiaky</t>
  </si>
  <si>
    <r>
      <rPr>
        <sz val="11"/>
        <rFont val="Calibri"/>
        <family val="2"/>
        <charset val="1"/>
      </rPr>
      <t>Zamorske mačke (</t>
    </r>
    <r>
      <rPr>
        <i/>
        <sz val="11"/>
        <rFont val="Calibri"/>
        <family val="2"/>
        <charset val="1"/>
      </rPr>
      <t>Chlorocebus</t>
    </r>
    <r>
      <rPr>
        <sz val="11"/>
        <rFont val="Calibri"/>
        <family val="2"/>
        <charset val="1"/>
      </rPr>
      <t xml:space="preserve"> spp.)</t>
    </r>
  </si>
  <si>
    <r>
      <rPr>
        <sz val="11"/>
        <rFont val="Calibri"/>
        <family val="2"/>
        <charset val="1"/>
      </rPr>
      <t>Gröna markattor (</t>
    </r>
    <r>
      <rPr>
        <i/>
        <sz val="11"/>
        <rFont val="Calibri"/>
        <family val="2"/>
        <charset val="1"/>
      </rPr>
      <t>Chlorocebus</t>
    </r>
    <r>
      <rPr>
        <sz val="11"/>
        <rFont val="Calibri"/>
        <family val="2"/>
        <charset val="1"/>
      </rPr>
      <t xml:space="preserve"> spp.)</t>
    </r>
  </si>
  <si>
    <r>
      <rPr>
        <sz val="11"/>
        <rFont val="Calibri"/>
        <family val="2"/>
        <charset val="1"/>
      </rPr>
      <t>Vervetaper (</t>
    </r>
    <r>
      <rPr>
        <i/>
        <sz val="11"/>
        <rFont val="Calibri"/>
        <family val="2"/>
        <charset val="1"/>
      </rPr>
      <t>Chlorocebus spp</t>
    </r>
    <r>
      <rPr>
        <sz val="11"/>
        <rFont val="Calibri"/>
        <family val="2"/>
        <charset val="1"/>
      </rPr>
      <t>.)</t>
    </r>
  </si>
  <si>
    <t>usually either pygerythrus or sabaeus</t>
  </si>
  <si>
    <t>A23</t>
  </si>
  <si>
    <t>Павиани (Papio spp.)</t>
  </si>
  <si>
    <r>
      <rPr>
        <sz val="11"/>
        <rFont val="Calibri"/>
        <family val="2"/>
        <charset val="1"/>
      </rPr>
      <t>paviáni (</t>
    </r>
    <r>
      <rPr>
        <i/>
        <sz val="11"/>
        <rFont val="Calibri"/>
        <family val="2"/>
        <charset val="1"/>
      </rPr>
      <t>Papio spp.</t>
    </r>
    <r>
      <rPr>
        <sz val="11"/>
        <rFont val="Calibri"/>
        <family val="2"/>
        <charset val="1"/>
      </rPr>
      <t>)</t>
    </r>
  </si>
  <si>
    <t>Bavian (Papio spp.)</t>
  </si>
  <si>
    <t>Paviane (Papio spp.)</t>
  </si>
  <si>
    <t>Μπαμπουίνοι (είδη του γένους Papio)</t>
  </si>
  <si>
    <t>Baboons</t>
  </si>
  <si>
    <t>Babuinos (Papio spp.)</t>
  </si>
  <si>
    <r>
      <rPr>
        <sz val="11"/>
        <rFont val="Calibri"/>
        <family val="2"/>
        <charset val="1"/>
      </rPr>
      <t>Paavianid (</t>
    </r>
    <r>
      <rPr>
        <i/>
        <sz val="11"/>
        <rFont val="Calibri"/>
        <family val="2"/>
        <charset val="1"/>
      </rPr>
      <t>Papio</t>
    </r>
    <r>
      <rPr>
        <sz val="11"/>
        <rFont val="Calibri"/>
        <family val="2"/>
        <charset val="1"/>
      </rPr>
      <t xml:space="preserve"> spp.)</t>
    </r>
  </si>
  <si>
    <t>Paviaanit (Papio spp.)</t>
  </si>
  <si>
    <t>Babouins (Papio spp.)</t>
  </si>
  <si>
    <t>Pavijani (Papio spp.)</t>
  </si>
  <si>
    <t>Pávián (Papio spp.)</t>
  </si>
  <si>
    <r>
      <rPr>
        <sz val="11"/>
        <rFont val="Calibri"/>
        <family val="2"/>
        <charset val="1"/>
      </rPr>
      <t>Babbuini (</t>
    </r>
    <r>
      <rPr>
        <i/>
        <sz val="11"/>
        <rFont val="Calibri"/>
        <family val="2"/>
        <charset val="1"/>
      </rPr>
      <t>Papio spp.</t>
    </r>
    <r>
      <rPr>
        <sz val="11"/>
        <rFont val="Calibri"/>
        <family val="2"/>
        <charset val="1"/>
      </rPr>
      <t>)</t>
    </r>
  </si>
  <si>
    <r>
      <rPr>
        <sz val="11"/>
        <rFont val="Calibri"/>
        <family val="2"/>
        <charset val="1"/>
      </rPr>
      <t>Babuinai (</t>
    </r>
    <r>
      <rPr>
        <i/>
        <sz val="11"/>
        <rFont val="Calibri"/>
        <family val="2"/>
        <charset val="1"/>
      </rPr>
      <t>Papio spp.</t>
    </r>
    <r>
      <rPr>
        <sz val="11"/>
        <rFont val="Calibri"/>
        <family val="2"/>
        <charset val="1"/>
      </rPr>
      <t>)</t>
    </r>
  </si>
  <si>
    <r>
      <rPr>
        <sz val="11"/>
        <rFont val="Calibri"/>
        <family val="2"/>
        <charset val="1"/>
      </rPr>
      <t>Paviāni (</t>
    </r>
    <r>
      <rPr>
        <i/>
        <sz val="11"/>
        <rFont val="Calibri"/>
        <family val="2"/>
        <charset val="1"/>
      </rPr>
      <t>Papio</t>
    </r>
    <r>
      <rPr>
        <sz val="11"/>
        <rFont val="Calibri"/>
        <family val="2"/>
        <charset val="1"/>
      </rPr>
      <t xml:space="preserve"> spp.)</t>
    </r>
  </si>
  <si>
    <t>Babwini (Papio spp.)</t>
  </si>
  <si>
    <r>
      <rPr>
        <sz val="11"/>
        <rFont val="Calibri"/>
        <family val="2"/>
        <charset val="1"/>
      </rPr>
      <t>Bavianen (</t>
    </r>
    <r>
      <rPr>
        <i/>
        <sz val="11"/>
        <rFont val="Calibri"/>
        <family val="2"/>
        <charset val="1"/>
      </rPr>
      <t>Papio</t>
    </r>
    <r>
      <rPr>
        <sz val="11"/>
        <rFont val="Calibri"/>
        <family val="2"/>
        <charset val="1"/>
      </rPr>
      <t xml:space="preserve"> spp.)</t>
    </r>
  </si>
  <si>
    <t>Pawiany (Papio spp.)</t>
  </si>
  <si>
    <r>
      <rPr>
        <sz val="11"/>
        <rFont val="Calibri"/>
        <family val="2"/>
        <charset val="1"/>
      </rPr>
      <t>Babuínos (</t>
    </r>
    <r>
      <rPr>
        <i/>
        <sz val="11"/>
        <rFont val="Calibri"/>
        <family val="2"/>
        <charset val="1"/>
      </rPr>
      <t>Papio</t>
    </r>
    <r>
      <rPr>
        <sz val="11"/>
        <rFont val="Calibri"/>
        <family val="2"/>
        <charset val="1"/>
      </rPr>
      <t xml:space="preserve"> spp.)</t>
    </r>
  </si>
  <si>
    <r>
      <rPr>
        <sz val="11"/>
        <rFont val="Calibri"/>
        <family val="2"/>
        <charset val="1"/>
      </rPr>
      <t>Babuini (</t>
    </r>
    <r>
      <rPr>
        <i/>
        <sz val="11"/>
        <rFont val="Calibri"/>
        <family val="2"/>
        <charset val="1"/>
      </rPr>
      <t>Papio</t>
    </r>
    <r>
      <rPr>
        <sz val="11"/>
        <rFont val="Calibri"/>
        <family val="2"/>
        <charset val="1"/>
      </rPr>
      <t xml:space="preserve"> spp.)</t>
    </r>
  </si>
  <si>
    <t>Paviány (Papio spp.)</t>
  </si>
  <si>
    <r>
      <rPr>
        <sz val="11"/>
        <rFont val="Calibri"/>
        <family val="2"/>
        <charset val="1"/>
      </rPr>
      <t>Pavijani (</t>
    </r>
    <r>
      <rPr>
        <i/>
        <sz val="11"/>
        <rFont val="Calibri"/>
        <family val="2"/>
        <charset val="1"/>
      </rPr>
      <t>Papio</t>
    </r>
    <r>
      <rPr>
        <sz val="11"/>
        <rFont val="Calibri"/>
        <family val="2"/>
        <charset val="1"/>
      </rPr>
      <t xml:space="preserve"> spp.)</t>
    </r>
  </si>
  <si>
    <r>
      <rPr>
        <sz val="11"/>
        <rFont val="Calibri"/>
        <family val="2"/>
        <charset val="1"/>
      </rPr>
      <t>Babianer (</t>
    </r>
    <r>
      <rPr>
        <i/>
        <sz val="11"/>
        <rFont val="Calibri"/>
        <family val="2"/>
        <charset val="1"/>
      </rPr>
      <t>Papio</t>
    </r>
    <r>
      <rPr>
        <sz val="11"/>
        <rFont val="Calibri"/>
        <family val="2"/>
        <charset val="1"/>
      </rPr>
      <t xml:space="preserve"> spp.)</t>
    </r>
  </si>
  <si>
    <r>
      <rPr>
        <sz val="11"/>
        <rFont val="Calibri"/>
        <family val="2"/>
        <charset val="1"/>
      </rPr>
      <t>Bavianer (</t>
    </r>
    <r>
      <rPr>
        <i/>
        <sz val="11"/>
        <rFont val="Calibri"/>
        <family val="2"/>
        <charset val="1"/>
      </rPr>
      <t>Papio spp</t>
    </r>
    <r>
      <rPr>
        <sz val="11"/>
        <rFont val="Calibri"/>
        <family val="2"/>
        <charset val="1"/>
      </rPr>
      <t>.)</t>
    </r>
  </si>
  <si>
    <t>Papio spp.</t>
  </si>
  <si>
    <t>A24</t>
  </si>
  <si>
    <t>Саймири</t>
  </si>
  <si>
    <t>kotulové</t>
  </si>
  <si>
    <t>Egernabe</t>
  </si>
  <si>
    <t>Totenkopfäffchen</t>
  </si>
  <si>
    <t>Σαϊμίρια</t>
  </si>
  <si>
    <t>Squirrel monkey</t>
  </si>
  <si>
    <t>Saimiris dorsirrojos</t>
  </si>
  <si>
    <t>Saimirid</t>
  </si>
  <si>
    <t>Oravasaimiri</t>
  </si>
  <si>
    <t>Saïmiris</t>
  </si>
  <si>
    <t>Vjeveričji majmun</t>
  </si>
  <si>
    <t>Mókusmajom</t>
  </si>
  <si>
    <t>Scimmie scoiattolo</t>
  </si>
  <si>
    <t>Saimiriai</t>
  </si>
  <si>
    <t>Vāverpērtiķi (saimiri)</t>
  </si>
  <si>
    <t>Xadina skojjattlu</t>
  </si>
  <si>
    <t>Doodshoofdaapjes</t>
  </si>
  <si>
    <t>Sajmiri wiewiórcza</t>
  </si>
  <si>
    <t>Macaco-de-cheiro</t>
  </si>
  <si>
    <t>Maimuțe veverițe</t>
  </si>
  <si>
    <t>Saimiri vevericovitý</t>
  </si>
  <si>
    <t>Veveričje opice</t>
  </si>
  <si>
    <t>Dödskalleapor</t>
  </si>
  <si>
    <t>Ekornape</t>
  </si>
  <si>
    <t>Saimiri sciureus</t>
  </si>
  <si>
    <t>A25-1</t>
  </si>
  <si>
    <t>Други видове маймуни от Стария свят</t>
  </si>
  <si>
    <t>jiné druhy opic Starého světa</t>
  </si>
  <si>
    <t>Andre arter af hundeaber</t>
  </si>
  <si>
    <t>Andere Arten von Altweltaffen</t>
  </si>
  <si>
    <t>Άλλα είδη πιθήκων του Παλαιού Κόσμου</t>
  </si>
  <si>
    <t>Other species of Old World monkeys</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</si>
  <si>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</si>
  <si>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</si>
  <si>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</si>
  <si>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</si>
  <si>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</si>
  <si>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</si>
  <si>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</si>
  <si>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</si>
  <si>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</si>
  <si>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t>Speċijiet oħra ta’ xadini tad-Dinja l-Antika</t>
  </si>
  <si>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</si>
  <si>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</si>
  <si>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</si>
  <si>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</si>
  <si>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</si>
  <si>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</si>
  <si>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t>Andra arter av östapor (smalnäsapor)</t>
  </si>
  <si>
    <t>Andre østapearter</t>
  </si>
  <si>
    <t>other species of Cercopithecoidea</t>
  </si>
  <si>
    <t>A25-2</t>
  </si>
  <si>
    <t>Други видове маймуни от Новия свят</t>
  </si>
  <si>
    <t>jiné druhy opic Nového světa</t>
  </si>
  <si>
    <t>Andre arter af vestaber</t>
  </si>
  <si>
    <t>Andere Arten von Neuweltaffen</t>
  </si>
  <si>
    <t>Άλλα είδη πιθήκων του Νέου Κόσμου</t>
  </si>
  <si>
    <t>Other species of New World monkeys</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</si>
  <si>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</si>
  <si>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</si>
  <si>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</si>
  <si>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</si>
  <si>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</si>
  <si>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</si>
  <si>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</si>
  <si>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</si>
  <si>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</si>
  <si>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t>Speċijiet oħra ta’ xadini tad-Dinja l-Ġdida</t>
  </si>
  <si>
    <t>Andere soorten smalneusapen</t>
  </si>
  <si>
    <t>Pozostałe gatunki małp szerokonosych</t>
  </si>
  <si>
    <t>Outras espécies de macacos do Novo Mundo (Ceboidea)</t>
  </si>
  <si>
    <r>
      <rPr>
        <sz val="11"/>
        <rFont val="Calibri"/>
        <family val="2"/>
        <charset val="1"/>
      </rPr>
      <t xml:space="preserve">Alte specii de </t>
    </r>
    <r>
      <rPr>
        <i/>
        <sz val="11"/>
        <rFont val="Calibri"/>
        <family val="2"/>
        <charset val="1"/>
      </rPr>
      <t>Cebidae</t>
    </r>
    <r>
      <rPr>
        <sz val="11"/>
        <rFont val="Calibri"/>
        <family val="2"/>
        <charset val="1"/>
      </rPr>
      <t xml:space="preserve"> </t>
    </r>
  </si>
  <si>
    <t>Iné druhy ploskonosých opíc</t>
  </si>
  <si>
    <t>Druge vrste opic novega sveta</t>
  </si>
  <si>
    <t>Andra arter av västapor (brednäsapor)</t>
  </si>
  <si>
    <t>Andre vestapearter</t>
  </si>
  <si>
    <t>other species of Ceboidea</t>
  </si>
  <si>
    <t>A26</t>
  </si>
  <si>
    <t>Човекоподобни маймуни</t>
  </si>
  <si>
    <t>hominoidi</t>
  </si>
  <si>
    <t>Menneskeaber</t>
  </si>
  <si>
    <t>Menschenaffen</t>
  </si>
  <si>
    <t>Πίθηκοι</t>
  </si>
  <si>
    <t>Apes</t>
  </si>
  <si>
    <t>Simios antropoides</t>
  </si>
  <si>
    <t>Ahvid</t>
  </si>
  <si>
    <t>Apinat</t>
  </si>
  <si>
    <t>Singes anthropoïdes</t>
  </si>
  <si>
    <t>Čovjekoliki majmuni</t>
  </si>
  <si>
    <t>Emberszabású majmok</t>
  </si>
  <si>
    <t>Scimmie antropomorfe</t>
  </si>
  <si>
    <t>Žmogbeždžionės</t>
  </si>
  <si>
    <t>Cilvēkpērtiķi</t>
  </si>
  <si>
    <t>Xadini (Apes)</t>
  </si>
  <si>
    <t>Mensapen</t>
  </si>
  <si>
    <t>Małpy człekokształtne</t>
  </si>
  <si>
    <t>Antropóides</t>
  </si>
  <si>
    <t>Maimuțe</t>
  </si>
  <si>
    <t>Ľudoopy</t>
  </si>
  <si>
    <t>Opice</t>
  </si>
  <si>
    <t>Människoartade primater (människoapor)</t>
  </si>
  <si>
    <t>Aper</t>
  </si>
  <si>
    <t>Hominoidea</t>
  </si>
  <si>
    <t>A27</t>
  </si>
  <si>
    <t>Други бозайници</t>
  </si>
  <si>
    <t>jiní savci</t>
  </si>
  <si>
    <t>Andre pattedyr</t>
  </si>
  <si>
    <t>Andere Säugetiere</t>
  </si>
  <si>
    <t>Άλλα θηλαστικά</t>
  </si>
  <si>
    <t>Other mammals</t>
  </si>
  <si>
    <t>Otros mamíferos</t>
  </si>
  <si>
    <t>Muud imetajad</t>
  </si>
  <si>
    <t>Muut nisäkkäät</t>
  </si>
  <si>
    <t>Autres mammifères</t>
  </si>
  <si>
    <t>Drugi sisavci</t>
  </si>
  <si>
    <t>Egyéb emlősök</t>
  </si>
  <si>
    <t>Altri mammiferi</t>
  </si>
  <si>
    <t>Kiti žinduoliai</t>
  </si>
  <si>
    <t>Citi zīdītāji</t>
  </si>
  <si>
    <t>Mammiferi oħrajn</t>
  </si>
  <si>
    <t>Andere zoogdieren</t>
  </si>
  <si>
    <t>Inne ssaki</t>
  </si>
  <si>
    <t>Outros mamíferos</t>
  </si>
  <si>
    <t>Alte mamifere</t>
  </si>
  <si>
    <t>Iné cicavce</t>
  </si>
  <si>
    <t>Drugi sesalci</t>
  </si>
  <si>
    <t>Andra däggdjur</t>
  </si>
  <si>
    <t>other Mammalia</t>
  </si>
  <si>
    <t>A28</t>
  </si>
  <si>
    <t>Домашни кокошки</t>
  </si>
  <si>
    <t>kur domácí</t>
  </si>
  <si>
    <t>Tamfjerkræ</t>
  </si>
  <si>
    <t>Haushühner</t>
  </si>
  <si>
    <t>Κατοικίδιες όρνιθες</t>
  </si>
  <si>
    <t>Domestic fowl</t>
  </si>
  <si>
    <t>Aves de corral</t>
  </si>
  <si>
    <t>Kodukanad</t>
  </si>
  <si>
    <t>Kotieläimenä pidettävät kanalinnut</t>
  </si>
  <si>
    <t>Poules domestiques</t>
  </si>
  <si>
    <t>Domaća kokoš</t>
  </si>
  <si>
    <t>Házi tyúk</t>
  </si>
  <si>
    <t>Pollame domestico</t>
  </si>
  <si>
    <t>Naminės vištos</t>
  </si>
  <si>
    <t>Mājas vistas</t>
  </si>
  <si>
    <t>Tjur domestiċi</t>
  </si>
  <si>
    <t>Huishoenders</t>
  </si>
  <si>
    <t>Kura domowa</t>
  </si>
  <si>
    <t>Galinha</t>
  </si>
  <si>
    <t>Păsări de curte</t>
  </si>
  <si>
    <t>Kura domáca</t>
  </si>
  <si>
    <t>Domača kokoš</t>
  </si>
  <si>
    <t>Tamhöna</t>
  </si>
  <si>
    <t>Tamfjørfe</t>
  </si>
  <si>
    <t>Gallus gallus domesticus</t>
  </si>
  <si>
    <t>A37</t>
  </si>
  <si>
    <t>Пуйки</t>
  </si>
  <si>
    <t>krůta domácí</t>
  </si>
  <si>
    <t>Kalkun</t>
  </si>
  <si>
    <t>Truthühner</t>
  </si>
  <si>
    <t>Γαλοπούλες</t>
  </si>
  <si>
    <t>Turkey</t>
  </si>
  <si>
    <t>Pavos</t>
  </si>
  <si>
    <t>Kalkunid</t>
  </si>
  <si>
    <t>Kalkkuna</t>
  </si>
  <si>
    <t>Dindes</t>
  </si>
  <si>
    <t>Puran</t>
  </si>
  <si>
    <t>Pulyka</t>
  </si>
  <si>
    <t>Tacchini</t>
  </si>
  <si>
    <t>Kalakutai</t>
  </si>
  <si>
    <t>Tītari</t>
  </si>
  <si>
    <t>Dundjan</t>
  </si>
  <si>
    <t>Kalkoenen</t>
  </si>
  <si>
    <t>Indyk</t>
  </si>
  <si>
    <t>Peru</t>
  </si>
  <si>
    <t>Curcani</t>
  </si>
  <si>
    <t>Morka</t>
  </si>
  <si>
    <t>Kalkon</t>
  </si>
  <si>
    <t>Meleagris gallopavo</t>
  </si>
  <si>
    <t>A29</t>
  </si>
  <si>
    <t>Други птици</t>
  </si>
  <si>
    <t>jiní ptáci</t>
  </si>
  <si>
    <t>Andre fugle</t>
  </si>
  <si>
    <t>Andere Vögel</t>
  </si>
  <si>
    <t>Άλλα πτηνά</t>
  </si>
  <si>
    <t>Other birds</t>
  </si>
  <si>
    <t>Otras aves</t>
  </si>
  <si>
    <t>Muud linnud</t>
  </si>
  <si>
    <t>Muut linnut</t>
  </si>
  <si>
    <t>Autres oiseaux</t>
  </si>
  <si>
    <t>Druge ptice</t>
  </si>
  <si>
    <t>Egyéb madarak</t>
  </si>
  <si>
    <t>Altri uccelli</t>
  </si>
  <si>
    <t>Kiti paukščiai</t>
  </si>
  <si>
    <t>Citi putni</t>
  </si>
  <si>
    <t>Għasafar oħra</t>
  </si>
  <si>
    <t>Andere vogels</t>
  </si>
  <si>
    <t>Inne ptaki</t>
  </si>
  <si>
    <t>Outras aves</t>
  </si>
  <si>
    <t>Alte păsări</t>
  </si>
  <si>
    <t>Iné vtáky</t>
  </si>
  <si>
    <t>Drugi ptiči</t>
  </si>
  <si>
    <t>Andra fåglar</t>
  </si>
  <si>
    <t>Andre fugler</t>
  </si>
  <si>
    <t>other Aves</t>
  </si>
  <si>
    <t>A30</t>
  </si>
  <si>
    <t>Влечуги</t>
  </si>
  <si>
    <t>plazi</t>
  </si>
  <si>
    <t>Krybdyr</t>
  </si>
  <si>
    <t>Reptilien</t>
  </si>
  <si>
    <t>Ερπετά</t>
  </si>
  <si>
    <t>Reptiles</t>
  </si>
  <si>
    <t>Roomajad</t>
  </si>
  <si>
    <t>Matelijat</t>
  </si>
  <si>
    <t>Gmazovi</t>
  </si>
  <si>
    <t>Hüllők</t>
  </si>
  <si>
    <t>Rettili</t>
  </si>
  <si>
    <t>Ropliai</t>
  </si>
  <si>
    <t>Reptiļi</t>
  </si>
  <si>
    <t>Reptielen</t>
  </si>
  <si>
    <t>Gady</t>
  </si>
  <si>
    <t>Répteis</t>
  </si>
  <si>
    <t>Reptile</t>
  </si>
  <si>
    <t>Plazy</t>
  </si>
  <si>
    <t>Plazilci</t>
  </si>
  <si>
    <t>Kräldjur</t>
  </si>
  <si>
    <t>Krypdyr</t>
  </si>
  <si>
    <t>Reptilia</t>
  </si>
  <si>
    <t>A31</t>
  </si>
  <si>
    <t>Жаби Rana</t>
  </si>
  <si>
    <t>skokani</t>
  </si>
  <si>
    <t>Rana</t>
  </si>
  <si>
    <t>Frösche</t>
  </si>
  <si>
    <t>Βάτραχοι (rana)</t>
  </si>
  <si>
    <t>Ranas</t>
  </si>
  <si>
    <r>
      <rPr>
        <sz val="11"/>
        <rFont val="Calibri"/>
        <family val="2"/>
        <charset val="1"/>
      </rPr>
      <t>Konnad (</t>
    </r>
    <r>
      <rPr>
        <i/>
        <sz val="11"/>
        <rFont val="Calibri"/>
        <family val="2"/>
        <charset val="1"/>
      </rPr>
      <t>Rana temporaria</t>
    </r>
    <r>
      <rPr>
        <sz val="11"/>
        <rFont val="Calibri"/>
        <family val="2"/>
        <charset val="1"/>
      </rPr>
      <t xml:space="preserve"> ja </t>
    </r>
    <r>
      <rPr>
        <i/>
        <sz val="11"/>
        <rFont val="Calibri"/>
        <family val="2"/>
        <charset val="1"/>
      </rPr>
      <t>Rana pipiens</t>
    </r>
    <r>
      <rPr>
        <sz val="11"/>
        <rFont val="Calibri"/>
        <family val="2"/>
        <charset val="1"/>
      </rPr>
      <t>)</t>
    </r>
  </si>
  <si>
    <t>Rana-sammakot</t>
  </si>
  <si>
    <t>Grenouilles Rana</t>
  </si>
  <si>
    <t>Žabe</t>
  </si>
  <si>
    <t>A Rana nembe tartozó béka</t>
  </si>
  <si>
    <r>
      <rPr>
        <sz val="11"/>
        <rFont val="Calibri"/>
        <family val="2"/>
        <charset val="1"/>
      </rPr>
      <t>Rane (</t>
    </r>
    <r>
      <rPr>
        <i/>
        <sz val="11"/>
        <rFont val="Calibri"/>
        <family val="2"/>
        <charset val="1"/>
      </rPr>
      <t>Rana spp.</t>
    </r>
    <r>
      <rPr>
        <sz val="11"/>
        <rFont val="Calibri"/>
        <family val="2"/>
        <charset val="1"/>
      </rPr>
      <t>)</t>
    </r>
  </si>
  <si>
    <t>Pievinės varlės</t>
  </si>
  <si>
    <t>Vardes</t>
  </si>
  <si>
    <t>Kikkers</t>
  </si>
  <si>
    <t>Żaby</t>
  </si>
  <si>
    <t>Rãs</t>
  </si>
  <si>
    <t>Skokany</t>
  </si>
  <si>
    <r>
      <rPr>
        <sz val="11"/>
        <rFont val="Calibri"/>
        <family val="2"/>
        <charset val="1"/>
      </rPr>
      <t>Grodor (</t>
    </r>
    <r>
      <rPr>
        <i/>
        <sz val="11"/>
        <rFont val="Calibri"/>
        <family val="2"/>
        <charset val="1"/>
      </rPr>
      <t>Rana</t>
    </r>
    <r>
      <rPr>
        <sz val="11"/>
        <rFont val="Calibri"/>
        <family val="2"/>
        <charset val="1"/>
      </rPr>
      <t xml:space="preserve"> spp.)</t>
    </r>
  </si>
  <si>
    <t>Frosk</t>
  </si>
  <si>
    <t>Rana temporaria and Rana pipiens</t>
  </si>
  <si>
    <t>A32</t>
  </si>
  <si>
    <t>Жаби Xenopus</t>
  </si>
  <si>
    <t>drápatky</t>
  </si>
  <si>
    <t>Xenopus</t>
  </si>
  <si>
    <t>Krallenfrösche</t>
  </si>
  <si>
    <t>Ξενόποδες</t>
  </si>
  <si>
    <t>Ranas Xenopus</t>
  </si>
  <si>
    <r>
      <rPr>
        <sz val="11"/>
        <rFont val="Calibri"/>
        <family val="2"/>
        <charset val="1"/>
      </rPr>
      <t>Konnad (</t>
    </r>
    <r>
      <rPr>
        <i/>
        <sz val="11"/>
        <rFont val="Calibri"/>
        <family val="2"/>
        <charset val="1"/>
      </rPr>
      <t>Xenopus laevis</t>
    </r>
    <r>
      <rPr>
        <sz val="11"/>
        <rFont val="Calibri"/>
        <family val="2"/>
        <charset val="1"/>
      </rPr>
      <t xml:space="preserve"> ja </t>
    </r>
    <r>
      <rPr>
        <i/>
        <sz val="11"/>
        <rFont val="Calibri"/>
        <family val="2"/>
        <charset val="1"/>
      </rPr>
      <t>Xenopus tropicalis</t>
    </r>
    <r>
      <rPr>
        <sz val="11"/>
        <rFont val="Calibri"/>
        <family val="2"/>
        <charset val="1"/>
      </rPr>
      <t>)</t>
    </r>
  </si>
  <si>
    <t>Aitokynsisammakot (Xenopus)</t>
  </si>
  <si>
    <t>Grenouilles Xenopus</t>
  </si>
  <si>
    <t>Afričke žabe pandžašice</t>
  </si>
  <si>
    <t>A Xenopus nembe tartozó béka</t>
  </si>
  <si>
    <r>
      <rPr>
        <sz val="11"/>
        <rFont val="Calibri"/>
        <family val="2"/>
        <charset val="1"/>
      </rPr>
      <t>Rane (</t>
    </r>
    <r>
      <rPr>
        <i/>
        <sz val="11"/>
        <rFont val="Calibri"/>
        <family val="2"/>
        <charset val="1"/>
      </rPr>
      <t>Xenopus spp.</t>
    </r>
    <r>
      <rPr>
        <sz val="11"/>
        <rFont val="Calibri"/>
        <family val="2"/>
        <charset val="1"/>
      </rPr>
      <t>)</t>
    </r>
  </si>
  <si>
    <t>Naguotosios varlės</t>
  </si>
  <si>
    <t>Piešvardes</t>
  </si>
  <si>
    <t>Klauwkikkers</t>
  </si>
  <si>
    <t>Grzbietorodowate</t>
  </si>
  <si>
    <r>
      <rPr>
        <sz val="11"/>
        <rFont val="Calibri"/>
        <family val="2"/>
        <charset val="1"/>
      </rPr>
      <t xml:space="preserve">Rãs </t>
    </r>
    <r>
      <rPr>
        <i/>
        <sz val="11"/>
        <rFont val="Calibri"/>
        <family val="2"/>
        <charset val="1"/>
      </rPr>
      <t>Xenopus</t>
    </r>
    <r>
      <rPr>
        <sz val="11"/>
        <rFont val="Calibri"/>
        <family val="2"/>
        <charset val="1"/>
      </rPr>
      <t xml:space="preserve"> spp.</t>
    </r>
  </si>
  <si>
    <t>Pazúrnatky</t>
  </si>
  <si>
    <r>
      <rPr>
        <sz val="11"/>
        <rFont val="Calibri"/>
        <family val="2"/>
        <charset val="1"/>
      </rPr>
      <t>Klogrodor (</t>
    </r>
    <r>
      <rPr>
        <i/>
        <sz val="11"/>
        <rFont val="Calibri"/>
        <family val="2"/>
        <charset val="1"/>
      </rPr>
      <t>Xenopus</t>
    </r>
    <r>
      <rPr>
        <sz val="11"/>
        <rFont val="Calibri"/>
        <family val="2"/>
        <charset val="1"/>
      </rPr>
      <t xml:space="preserve"> spp.)</t>
    </r>
  </si>
  <si>
    <t>Sporefrosk</t>
  </si>
  <si>
    <t>Xenopus laevis and Xenopus tropicalis</t>
  </si>
  <si>
    <t>A33</t>
  </si>
  <si>
    <t>Други земноводни</t>
  </si>
  <si>
    <t>jiní obojživelníci</t>
  </si>
  <si>
    <t>Andre padder</t>
  </si>
  <si>
    <t>Andere Amphibien</t>
  </si>
  <si>
    <t>Λοιπά αμφίβια</t>
  </si>
  <si>
    <t>Other amphibians</t>
  </si>
  <si>
    <t>Otros anfibios</t>
  </si>
  <si>
    <t>Muud kahepaiksed</t>
  </si>
  <si>
    <t>Muut sammakkoeläimet</t>
  </si>
  <si>
    <t>Autres amphibiens</t>
  </si>
  <si>
    <t>Drugi vodozemci</t>
  </si>
  <si>
    <t>Egyéb kétéltűek</t>
  </si>
  <si>
    <t>Altri anfibi</t>
  </si>
  <si>
    <t>Kitos amfibijos</t>
  </si>
  <si>
    <t>Citi abinieki</t>
  </si>
  <si>
    <t>Amfibji oħrajn</t>
  </si>
  <si>
    <t>Andere amfibieën</t>
  </si>
  <si>
    <t>Inne płazy</t>
  </si>
  <si>
    <t>Outros anfíbios</t>
  </si>
  <si>
    <t>Alți amfibieni</t>
  </si>
  <si>
    <t>Iné obojživelníky</t>
  </si>
  <si>
    <t>Druge dvoživke</t>
  </si>
  <si>
    <t>Andra groddjur</t>
  </si>
  <si>
    <t>Andre amfibier</t>
  </si>
  <si>
    <t>other Amphibia</t>
  </si>
  <si>
    <t>A34</t>
  </si>
  <si>
    <t>Риби зебра</t>
  </si>
  <si>
    <t>dánio pruhované</t>
  </si>
  <si>
    <t>Zebrafisk</t>
  </si>
  <si>
    <t>Zebrafische</t>
  </si>
  <si>
    <t>Ζεβρόψαρα</t>
  </si>
  <si>
    <t>Zebra fish</t>
  </si>
  <si>
    <t>Peces cebra</t>
  </si>
  <si>
    <t>Vöötdaanio</t>
  </si>
  <si>
    <t>Seeprakalat</t>
  </si>
  <si>
    <t>Poissons zèbres</t>
  </si>
  <si>
    <t>Zebrica</t>
  </si>
  <si>
    <t>Zebrahal</t>
  </si>
  <si>
    <t>Pesci zebra</t>
  </si>
  <si>
    <t>Zebrinės danijos</t>
  </si>
  <si>
    <t>Zebrzivis</t>
  </si>
  <si>
    <t>Ħut żebra</t>
  </si>
  <si>
    <t>Zebravissen</t>
  </si>
  <si>
    <t>Danio pręgowany</t>
  </si>
  <si>
    <t>Peixe-zebra</t>
  </si>
  <si>
    <t>Pești zebră</t>
  </si>
  <si>
    <t>Danio pruhované</t>
  </si>
  <si>
    <t>Cebrice</t>
  </si>
  <si>
    <t>Sebrafisk</t>
  </si>
  <si>
    <t>Danio rerio</t>
  </si>
  <si>
    <t>A38</t>
  </si>
  <si>
    <t>Лавpак</t>
  </si>
  <si>
    <t>mořčák evropský</t>
  </si>
  <si>
    <t>Havbars</t>
  </si>
  <si>
    <t>Wolfsbarsch</t>
  </si>
  <si>
    <t>Λαβράκια</t>
  </si>
  <si>
    <t>Sea bass</t>
  </si>
  <si>
    <t>Lubinas</t>
  </si>
  <si>
    <t>Ahvenlased</t>
  </si>
  <si>
    <t>Meribassi</t>
  </si>
  <si>
    <t>Bars</t>
  </si>
  <si>
    <t>Lubin</t>
  </si>
  <si>
    <t>Farkassügér</t>
  </si>
  <si>
    <t>Spigole</t>
  </si>
  <si>
    <t>Paprastieji vilkešeriai</t>
  </si>
  <si>
    <t>Jūrasasari</t>
  </si>
  <si>
    <t>Pollakkju iswed</t>
  </si>
  <si>
    <t>Zeebaars</t>
  </si>
  <si>
    <t>Labraks</t>
  </si>
  <si>
    <t>Robalo</t>
  </si>
  <si>
    <t>Biban-de-mare</t>
  </si>
  <si>
    <t>Morona striebristá</t>
  </si>
  <si>
    <t>Brancin</t>
  </si>
  <si>
    <t>Havsabborrfiskar</t>
  </si>
  <si>
    <t>Havabbor</t>
  </si>
  <si>
    <t>spp. from families e.g. Serranidae, Moronidae</t>
  </si>
  <si>
    <t>A39</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</si>
  <si>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</si>
  <si>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</si>
  <si>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</si>
  <si>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</si>
  <si>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</si>
  <si>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Salmon, trout, chars and graylings</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</si>
  <si>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</si>
  <si>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</si>
  <si>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</si>
  <si>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</si>
  <si>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</si>
  <si>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</si>
  <si>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</si>
  <si>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</si>
  <si>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</si>
  <si>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t>Salamun, troti, chars u graylings</t>
  </si>
  <si>
    <t>Zalm, forel, riddervis en vlagzalm</t>
  </si>
  <si>
    <t>Łosoś, pstrąg, palie i lipienie</t>
  </si>
  <si>
    <t>Salmões, trutas, salvelinos e peixe-sombra</t>
  </si>
  <si>
    <t>Somon, păstrăv, fântânei și lipani</t>
  </si>
  <si>
    <t>Losos, pstruh, sivone a lipne</t>
  </si>
  <si>
    <t>Losos, postrv, zlatovčice in lipani</t>
  </si>
  <si>
    <t>Laxfiskar (lax, öring, röding, harr m.fl.)</t>
  </si>
  <si>
    <t>Laks, ørret, fjellørret og ombre</t>
  </si>
  <si>
    <t>Salmonidae</t>
  </si>
  <si>
    <t>A40</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</si>
  <si>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</si>
  <si>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</si>
  <si>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</si>
  <si>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</si>
  <si>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</si>
  <si>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Guppy, swordtail, molly, platy</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</si>
  <si>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</si>
  <si>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</si>
  <si>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</si>
  <si>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</si>
  <si>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</si>
  <si>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</si>
  <si>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</si>
  <si>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</si>
  <si>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</si>
  <si>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t>Guppy, zwaarddrager, mollie, plaatje</t>
  </si>
  <si>
    <t>Gupik, mieczyk, molinezja ostropyska, zmienniak plamisty</t>
  </si>
  <si>
    <r>
      <rPr>
        <i/>
        <sz val="11"/>
        <rFont val="Calibri"/>
        <family val="2"/>
        <charset val="1"/>
      </rPr>
      <t>Poecilia</t>
    </r>
    <r>
      <rPr>
        <sz val="11"/>
        <rFont val="Calibri"/>
        <family val="2"/>
        <charset val="1"/>
      </rPr>
      <t xml:space="preserve"> spp. (p. ex. gúpi) e </t>
    </r>
    <r>
      <rPr>
        <i/>
        <sz val="11"/>
        <rFont val="Calibri"/>
        <family val="2"/>
        <charset val="1"/>
      </rPr>
      <t>Xiphophorus</t>
    </r>
    <r>
      <rPr>
        <sz val="11"/>
        <rFont val="Calibri"/>
        <family val="2"/>
        <charset val="1"/>
      </rPr>
      <t xml:space="preserve"> spp. (Poeciliidae)</t>
    </r>
  </si>
  <si>
    <t>Guppy, pești „xipho”, „moli” și „platy”</t>
  </si>
  <si>
    <t>Gupka, mečúň, živorodka, plata</t>
  </si>
  <si>
    <t>Gupi, mečka, moli, plati</t>
  </si>
  <si>
    <t>Levandefödande tandkarpar (guppy, svärdbärare, molly, platy m.fl.)</t>
  </si>
  <si>
    <r>
      <rPr>
        <sz val="11"/>
        <rFont val="Calibri"/>
        <family val="2"/>
        <charset val="1"/>
      </rPr>
      <t>Levendefødte tannkarper (</t>
    </r>
    <r>
      <rPr>
        <i/>
        <sz val="11"/>
        <rFont val="Calibri"/>
        <family val="2"/>
        <charset val="1"/>
      </rPr>
      <t>Poeciliidae</t>
    </r>
    <r>
      <rPr>
        <sz val="11"/>
        <rFont val="Calibri"/>
        <family val="2"/>
        <charset val="1"/>
      </rPr>
      <t>)</t>
    </r>
  </si>
  <si>
    <t>Poeciliidae</t>
  </si>
  <si>
    <t>A35</t>
  </si>
  <si>
    <t>Други риби</t>
  </si>
  <si>
    <t>jiné ryby</t>
  </si>
  <si>
    <t>Andre fisk</t>
  </si>
  <si>
    <t>Andere Fische</t>
  </si>
  <si>
    <t>Άλλα ψάρια</t>
  </si>
  <si>
    <t>Other fish</t>
  </si>
  <si>
    <t>Otros peces</t>
  </si>
  <si>
    <t>Muud kalad</t>
  </si>
  <si>
    <t>Muut kalat</t>
  </si>
  <si>
    <t>Autres poissons</t>
  </si>
  <si>
    <t>Druge ribe</t>
  </si>
  <si>
    <t>Egyéb halak</t>
  </si>
  <si>
    <t>Altri pesci</t>
  </si>
  <si>
    <t>Kitos žuvys</t>
  </si>
  <si>
    <t>Citas zivis</t>
  </si>
  <si>
    <t>Ħut ieħor</t>
  </si>
  <si>
    <t>Andere vissen</t>
  </si>
  <si>
    <t>Inne ryby</t>
  </si>
  <si>
    <t>Outros peixes</t>
  </si>
  <si>
    <t>Alți pești</t>
  </si>
  <si>
    <t>Iné ryby</t>
  </si>
  <si>
    <t>Andra fiskar</t>
  </si>
  <si>
    <t>Andre fisker</t>
  </si>
  <si>
    <t>other Pisces</t>
  </si>
  <si>
    <t>A36</t>
  </si>
  <si>
    <t>Главоноги</t>
  </si>
  <si>
    <t>hlavonožci</t>
  </si>
  <si>
    <t>Blæksprutter</t>
  </si>
  <si>
    <t>Kopffüßer</t>
  </si>
  <si>
    <t>Κεφαλόποδα</t>
  </si>
  <si>
    <t>Cephalopods</t>
  </si>
  <si>
    <t>Cefalópodos</t>
  </si>
  <si>
    <t>Peajalgsed</t>
  </si>
  <si>
    <t>Pääjalkaiset</t>
  </si>
  <si>
    <t>Céphalopodes</t>
  </si>
  <si>
    <t>Glavonošci</t>
  </si>
  <si>
    <t xml:space="preserve">Lábasfejűek </t>
  </si>
  <si>
    <t>Cefalopodi</t>
  </si>
  <si>
    <t>Galvakojai moliuskai</t>
  </si>
  <si>
    <t>Galvkāji</t>
  </si>
  <si>
    <t>Ċefalopodi</t>
  </si>
  <si>
    <t>Koppotigen</t>
  </si>
  <si>
    <t>Głowonogi</t>
  </si>
  <si>
    <t>Cefalópodes</t>
  </si>
  <si>
    <t>Cefalopode</t>
  </si>
  <si>
    <t>Hlavonožce</t>
  </si>
  <si>
    <t>Glavonožci</t>
  </si>
  <si>
    <t>Bläckfiskar</t>
  </si>
  <si>
    <t>Blekkspruter</t>
  </si>
  <si>
    <t>Cephalopoda</t>
  </si>
  <si>
    <t>A99</t>
  </si>
  <si>
    <t>неспецифициран бозайник</t>
  </si>
  <si>
    <t>nespecifikovaný savec</t>
  </si>
  <si>
    <t>uspecificeret pattedyr</t>
  </si>
  <si>
    <t>Nicht spezifiziertes Säugetier</t>
  </si>
  <si>
    <t>Mη προσδιοριζόμενα θηλαστικά</t>
  </si>
  <si>
    <t>non-specified mammal</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</si>
  <si>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</si>
  <si>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</si>
  <si>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</si>
  <si>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</si>
  <si>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</si>
  <si>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</si>
  <si>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</si>
  <si>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</si>
  <si>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</si>
  <si>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t>mammiferi mhux speċifikati</t>
  </si>
  <si>
    <t>niet-gespecificeerd zoogdier</t>
  </si>
  <si>
    <t>nieokreślony ssak</t>
  </si>
  <si>
    <t>Mamíferos não especificados</t>
  </si>
  <si>
    <t>mamifere nespecificate</t>
  </si>
  <si>
    <t>nešpecifikovaný cicavec</t>
  </si>
  <si>
    <t>Neopredeljen sesalec</t>
  </si>
  <si>
    <t>Icke specificerat däggdjur</t>
  </si>
  <si>
    <t>Uspesifisert pattedyr</t>
  </si>
  <si>
    <t>text</t>
  </si>
  <si>
    <t>textTranslated</t>
  </si>
  <si>
    <t>country_label</t>
  </si>
  <si>
    <t>Държава</t>
  </si>
  <si>
    <t>Země</t>
  </si>
  <si>
    <t>Land</t>
  </si>
  <si>
    <t>Χώρα</t>
  </si>
  <si>
    <t>Country</t>
  </si>
  <si>
    <t>País</t>
  </si>
  <si>
    <t>Riik</t>
  </si>
  <si>
    <t>Maa</t>
  </si>
  <si>
    <t>Pays</t>
  </si>
  <si>
    <t>Država</t>
  </si>
  <si>
    <t>Ország</t>
  </si>
  <si>
    <t>Paese</t>
  </si>
  <si>
    <t>Šalis</t>
  </si>
  <si>
    <t>Valsts</t>
  </si>
  <si>
    <t>Pajjiż</t>
  </si>
  <si>
    <t>Państwo</t>
  </si>
  <si>
    <t>Țara</t>
  </si>
  <si>
    <t>Krajina</t>
  </si>
  <si>
    <t>language_label</t>
  </si>
  <si>
    <t>Език</t>
  </si>
  <si>
    <t>Jazyk</t>
  </si>
  <si>
    <t>Sprog</t>
  </si>
  <si>
    <t>Sprache</t>
  </si>
  <si>
    <t>Γλώσσα</t>
  </si>
  <si>
    <t>Language</t>
  </si>
  <si>
    <t>Lengua</t>
  </si>
  <si>
    <t>Keel</t>
  </si>
  <si>
    <t>Kieli</t>
  </si>
  <si>
    <t>Langue</t>
  </si>
  <si>
    <t>Jezik</t>
  </si>
  <si>
    <t>Nyelv</t>
  </si>
  <si>
    <t>Lingua</t>
  </si>
  <si>
    <t>Kalba</t>
  </si>
  <si>
    <t>Valoda</t>
  </si>
  <si>
    <t>Lingwa</t>
  </si>
  <si>
    <t>Taal</t>
  </si>
  <si>
    <t>Język</t>
  </si>
  <si>
    <t>Língua</t>
  </si>
  <si>
    <t>Limba</t>
  </si>
  <si>
    <t>Språk</t>
  </si>
  <si>
    <t>euSubmission_label</t>
  </si>
  <si>
    <t>Подаване в ЕС</t>
  </si>
  <si>
    <t>Předkládání EU</t>
  </si>
  <si>
    <t>EU-indberetning</t>
  </si>
  <si>
    <t>Übermittlung an die EU</t>
  </si>
  <si>
    <t>Yποβολή από την ΕΕ</t>
  </si>
  <si>
    <t>EU submission</t>
  </si>
  <si>
    <t>Presentación UE</t>
  </si>
  <si>
    <t>Esitatakse ELile</t>
  </si>
  <si>
    <t>Toimitettava EU:lle</t>
  </si>
  <si>
    <t>Soumission à l’UE</t>
  </si>
  <si>
    <t>Podnošenje informacija EU-u</t>
  </si>
  <si>
    <t>Uniós célú benyújtás</t>
  </si>
  <si>
    <t>Da trasmettere all'UE</t>
  </si>
  <si>
    <t>ES pateikta informacja</t>
  </si>
  <si>
    <t>Iesniegums ES</t>
  </si>
  <si>
    <t>Sottomissjoni tal-UE</t>
  </si>
  <si>
    <t>Indiening bij EU</t>
  </si>
  <si>
    <t>Składany na poziomie UE</t>
  </si>
  <si>
    <t>Apresentação à UE</t>
  </si>
  <si>
    <t>Informații care trebuie transmise către UE</t>
  </si>
  <si>
    <t>Predloženie EÚ</t>
  </si>
  <si>
    <t>Predložitev informacij EU</t>
  </si>
  <si>
    <t>Inlämning till EU</t>
  </si>
  <si>
    <t>EU-melding</t>
  </si>
  <si>
    <t>projectTitle_label</t>
  </si>
  <si>
    <t>Наименование на проекта</t>
  </si>
  <si>
    <t>Název projektu</t>
  </si>
  <si>
    <t>Projektets titel</t>
  </si>
  <si>
    <t>Titel des Projekts</t>
  </si>
  <si>
    <t>Τίτλος του έργου</t>
  </si>
  <si>
    <t>Title of the project</t>
  </si>
  <si>
    <t>Título del proyecto</t>
  </si>
  <si>
    <t>Projekti pealkiri</t>
  </si>
  <si>
    <t>Hankkeen otsikko</t>
  </si>
  <si>
    <t>Intitulé du projet</t>
  </si>
  <si>
    <t>Naslov projekta</t>
  </si>
  <si>
    <t>A projekt címe</t>
  </si>
  <si>
    <t>Titolo del progetto</t>
  </si>
  <si>
    <t>Projekto pavadinimas</t>
  </si>
  <si>
    <t>Projekta nosaukums</t>
  </si>
  <si>
    <t>Titlu tal-proġett</t>
  </si>
  <si>
    <t>Naam van het project</t>
  </si>
  <si>
    <t>Tytuł projektu</t>
  </si>
  <si>
    <t>Título do projeto</t>
  </si>
  <si>
    <t>Titlul proiectului</t>
  </si>
  <si>
    <t>Názov projektu</t>
  </si>
  <si>
    <t>Projektets namn</t>
  </si>
  <si>
    <t>Tittel på prosjektet</t>
  </si>
  <si>
    <t>projectDuration_label</t>
  </si>
  <si>
    <t>Продължителност на проекта</t>
  </si>
  <si>
    <t>Doba trvání projektu</t>
  </si>
  <si>
    <t>Projektets varighed</t>
  </si>
  <si>
    <t>Projektdauer</t>
  </si>
  <si>
    <t>Διάρκεια του έργου</t>
  </si>
  <si>
    <t>Duration of the project</t>
  </si>
  <si>
    <t>Duración del proyecto</t>
  </si>
  <si>
    <t>Projekti kestus</t>
  </si>
  <si>
    <t>Hankkeen  kesto</t>
  </si>
  <si>
    <t>Durée du projet</t>
  </si>
  <si>
    <t>Trajanje projekta</t>
  </si>
  <si>
    <t>A projekt időtartama</t>
  </si>
  <si>
    <t>Durata del progetto</t>
  </si>
  <si>
    <t>Projekto trukmė</t>
  </si>
  <si>
    <t>Projekta ilgums</t>
  </si>
  <si>
    <t>Durata tal-proġett</t>
  </si>
  <si>
    <t>Duur van het project</t>
  </si>
  <si>
    <t>Czas trwania projektu</t>
  </si>
  <si>
    <t>Duração do projeto</t>
  </si>
  <si>
    <t>Durata proiectului</t>
  </si>
  <si>
    <t>Trvanie projektu</t>
  </si>
  <si>
    <t>Projektets varaktighet</t>
  </si>
  <si>
    <t xml:space="preserve">Prosjektets varighet </t>
  </si>
  <si>
    <t>keywords_label</t>
  </si>
  <si>
    <t>Ключови думи</t>
  </si>
  <si>
    <t>Klíčová slova</t>
  </si>
  <si>
    <t>Nøgleord</t>
  </si>
  <si>
    <t>Schlüsselbegriffe</t>
  </si>
  <si>
    <t>Λέξεις-κλειδιά</t>
  </si>
  <si>
    <t>Keywords</t>
  </si>
  <si>
    <t>Palabras clave</t>
  </si>
  <si>
    <t>Märksõnad</t>
  </si>
  <si>
    <t>Avainsanat</t>
  </si>
  <si>
    <t>Mots-clés</t>
  </si>
  <si>
    <t>Ključne riječi</t>
  </si>
  <si>
    <t>Kulcsszavak</t>
  </si>
  <si>
    <t>Parole chiave</t>
  </si>
  <si>
    <t>Reikšminiai žodžiai</t>
  </si>
  <si>
    <t>Atslēgvārdi</t>
  </si>
  <si>
    <t>Kliem ewlieni</t>
  </si>
  <si>
    <t>Trefwoorden</t>
  </si>
  <si>
    <t>Słowa kluczowe</t>
  </si>
  <si>
    <t>Palavras-chave</t>
  </si>
  <si>
    <t>Cuvinte-cheie</t>
  </si>
  <si>
    <t>Kľúčové slová</t>
  </si>
  <si>
    <t>Ključne besede</t>
  </si>
  <si>
    <t>Nyckelord</t>
  </si>
  <si>
    <t>Nøkkelord</t>
  </si>
  <si>
    <t>keyword_label</t>
  </si>
  <si>
    <t>Ключова дума</t>
  </si>
  <si>
    <t>Klíčové slovo</t>
  </si>
  <si>
    <t>Schlüsselbegriff</t>
  </si>
  <si>
    <t>Λέξη-κλειδί</t>
  </si>
  <si>
    <t>Keyword</t>
  </si>
  <si>
    <t>Palabra clave (Keyword)</t>
  </si>
  <si>
    <t>Märksõna</t>
  </si>
  <si>
    <t>Avainsana</t>
  </si>
  <si>
    <t>Mot-clé</t>
  </si>
  <si>
    <t>Ključna riječ</t>
  </si>
  <si>
    <t>Kulcsszó</t>
  </si>
  <si>
    <t>Parola chiave</t>
  </si>
  <si>
    <t>Reikšminis žodis</t>
  </si>
  <si>
    <t>Atslēgvārds</t>
  </si>
  <si>
    <t>Kelma ewlenija</t>
  </si>
  <si>
    <t>Trefwoord</t>
  </si>
  <si>
    <t>Słowo kluczowe</t>
  </si>
  <si>
    <t>Palavra-chave</t>
  </si>
  <si>
    <t>Cuvânt-cheie</t>
  </si>
  <si>
    <t>Kľúčové slovo</t>
  </si>
  <si>
    <t>Ključna beseda</t>
  </si>
  <si>
    <t>projectPurposes_label</t>
  </si>
  <si>
    <t>Цел(и) на  проекта</t>
  </si>
  <si>
    <t>Účel (Účely)  projektu</t>
  </si>
  <si>
    <t>Formål med projektet</t>
  </si>
  <si>
    <t>Projektziel(e)</t>
  </si>
  <si>
    <t>Σκοπός(-οί) του έργου</t>
  </si>
  <si>
    <t>Purpose(s) of the project</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</si>
  <si>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</si>
  <si>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</si>
  <si>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</si>
  <si>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</si>
  <si>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</si>
  <si>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</si>
  <si>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</si>
  <si>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</si>
  <si>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</si>
  <si>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t>Għan(ijiet) tal-proġett</t>
  </si>
  <si>
    <t>Doel(en) van het project</t>
  </si>
  <si>
    <t>Cel(e) projektu</t>
  </si>
  <si>
    <t>Finalidade(s) do projeto</t>
  </si>
  <si>
    <t>Scopul (scopurile) proiectului</t>
  </si>
  <si>
    <t>Účel(y) projektu</t>
  </si>
  <si>
    <t>Namen(i) projekta</t>
  </si>
  <si>
    <t>Projektets syfte(n)</t>
  </si>
  <si>
    <t>Formålet med prosjektet</t>
  </si>
  <si>
    <t>basicResearch_label</t>
  </si>
  <si>
    <t>translationalResearch_label</t>
  </si>
  <si>
    <t>qualityControl_label</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</si>
  <si>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</si>
  <si>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</si>
  <si>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</si>
  <si>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</si>
  <si>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</si>
  <si>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Regulatory use: Quality control (including batch safety and potency testing)</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</si>
  <si>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</si>
  <si>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</si>
  <si>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</si>
  <si>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</si>
  <si>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</si>
  <si>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</si>
  <si>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</si>
  <si>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</si>
  <si>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</si>
  <si>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t>Użu regolatorju: Kontroll tal-kwalità (inkluż is-sikurezza tal-lott u l-ittestjar tal-potenza)</t>
  </si>
  <si>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</si>
  <si>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</si>
  <si>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</si>
  <si>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</si>
  <si>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</si>
  <si>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</si>
  <si>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t>Lagstadgad användning: Kvalitetskontroll (inkl. säkerhets- och effektivitetstester av tillverkningssatser)</t>
  </si>
  <si>
    <t>Regelverksbasert bruk: Kvalitetskontroll (herunder sikkerhetsprøving og styrkebestemmelse av partier)</t>
  </si>
  <si>
    <t>efficacyTesting_label</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</si>
  <si>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</si>
  <si>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</si>
  <si>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</si>
  <si>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</si>
  <si>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</si>
  <si>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Regulatory use: Other efficacy and tolerance testing</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</si>
  <si>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</si>
  <si>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</si>
  <si>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</si>
  <si>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</si>
  <si>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</si>
  <si>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</si>
  <si>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</si>
  <si>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</si>
  <si>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</si>
  <si>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t>Użu regolatorju: Ittestjar ieħor tal-effikaċja u tat-tolleranza</t>
  </si>
  <si>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</si>
  <si>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</si>
  <si>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</si>
  <si>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</si>
  <si>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</si>
  <si>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</si>
  <si>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t>Lagstadgad användning: Andra effektivitets- och toleranstester</t>
  </si>
  <si>
    <t>Regelverksbasert bruk: Andre forsøk for å kartlegge virkninger og toleranse</t>
  </si>
  <si>
    <t>toxicityTesting_label</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</si>
  <si>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</si>
  <si>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</si>
  <si>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</si>
  <si>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</si>
  <si>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</si>
  <si>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Regulatory use: Toxicity and other safety testing including pharmacology</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</si>
  <si>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</si>
  <si>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</si>
  <si>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</si>
  <si>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</si>
  <si>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</si>
  <si>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</si>
  <si>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</si>
  <si>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</si>
  <si>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</si>
  <si>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t>Użu regolatorju: Tossiċità u ttestjar ieħor tas-sikurezza inkluża l-farmakoloġija</t>
  </si>
  <si>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</si>
  <si>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</si>
  <si>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</si>
  <si>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</si>
  <si>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</si>
  <si>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</si>
  <si>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t>Lagstadgad användning: Toxicitetstester och andra säkerhetstester som inbegriper farmakologi</t>
  </si>
  <si>
    <t>Regelverksbasert bruk: Giftighetsprøving og annen sikkerhetsprøving, herunder farmakologi</t>
  </si>
  <si>
    <t>routineProduction_label</t>
  </si>
  <si>
    <t>Рутинно производство</t>
  </si>
  <si>
    <t>Běžná výroba</t>
  </si>
  <si>
    <t>Rutineproduktion</t>
  </si>
  <si>
    <t>Routineproduktion</t>
  </si>
  <si>
    <t>Συνήθης παραγωγή</t>
  </si>
  <si>
    <t>Routine production</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</si>
  <si>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</si>
  <si>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</si>
  <si>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</si>
  <si>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</si>
  <si>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</si>
  <si>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</si>
  <si>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</si>
  <si>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</si>
  <si>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</si>
  <si>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t>Produzzjoni rutina</t>
  </si>
  <si>
    <t>Routineproductie</t>
  </si>
  <si>
    <t>Produkcja rutynowa</t>
  </si>
  <si>
    <t>Produção de rotina</t>
  </si>
  <si>
    <t>Producere de rutină</t>
  </si>
  <si>
    <t>Bežná výroba</t>
  </si>
  <si>
    <t>Redna proizvodnja</t>
  </si>
  <si>
    <t>Rutinmässig produktion</t>
  </si>
  <si>
    <t>Rutineproduksjon</t>
  </si>
  <si>
    <t>protection_label</t>
  </si>
  <si>
    <t>Protección del entorno natural en interés de la salud o del bienestar de los seres humanos o de los animales</t>
  </si>
  <si>
    <t>preservation_label</t>
  </si>
  <si>
    <t>education_label</t>
  </si>
  <si>
    <t>Educación postsecundaria</t>
  </si>
  <si>
    <t>training_label</t>
  </si>
  <si>
    <t>Обучение</t>
  </si>
  <si>
    <t>Odborná příprava</t>
  </si>
  <si>
    <t>Uddannelse</t>
  </si>
  <si>
    <t>Schulung</t>
  </si>
  <si>
    <t>Κατάρτιση</t>
  </si>
  <si>
    <t>Training</t>
  </si>
  <si>
    <t>Formación</t>
  </si>
  <si>
    <t>Väljaõpe</t>
  </si>
  <si>
    <t>Koulutus</t>
  </si>
  <si>
    <t>Formation</t>
  </si>
  <si>
    <t>Osposobljavanje</t>
  </si>
  <si>
    <t>Képzés</t>
  </si>
  <si>
    <t>Formazione</t>
  </si>
  <si>
    <t>Mokymas</t>
  </si>
  <si>
    <t>Apmācība</t>
  </si>
  <si>
    <t>Taħriġ</t>
  </si>
  <si>
    <t>Opleiding</t>
  </si>
  <si>
    <t>Szkolenia</t>
  </si>
  <si>
    <t>Formação</t>
  </si>
  <si>
    <t>Formare</t>
  </si>
  <si>
    <t>Odborná príprava</t>
  </si>
  <si>
    <t>Usposabljanje</t>
  </si>
  <si>
    <t>Utbildning för yrkesfärdigheter</t>
  </si>
  <si>
    <t>Opplæring</t>
  </si>
  <si>
    <t>forensic_label</t>
  </si>
  <si>
    <t>Investigaciones forenses</t>
  </si>
  <si>
    <t>maintenance_label</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</si>
  <si>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</si>
  <si>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</si>
  <si>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</si>
  <si>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</si>
  <si>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</si>
  <si>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Maintenance of colonies of genetically altered animals, not used in other procedures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</si>
  <si>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</si>
  <si>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</si>
  <si>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</si>
  <si>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</si>
  <si>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</si>
  <si>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</si>
  <si>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</si>
  <si>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</si>
  <si>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</si>
  <si>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t>Manteniment ta’ kolonji ta’ annimali mibdulin ġenetikament, li mhux użati fi proċeduri oħra</t>
  </si>
  <si>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</si>
  <si>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</si>
  <si>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</si>
  <si>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</si>
  <si>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</si>
  <si>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</si>
  <si>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t>Upprätthållande av kolonier av genetiskt förändrade djur som inte används i andra försök</t>
  </si>
  <si>
    <t>Opprettholdelse av kolonier av genmodifiserte dyr som ikke brukes i andre forsøk</t>
  </si>
  <si>
    <t>NTS_title</t>
  </si>
  <si>
    <t>НЕТЕХНИЧЕСКО ОБОБЩЕНИЕ НА ПРОЕКТА</t>
  </si>
  <si>
    <t>NETECHNICKÉ SHRNUTÍ PROJEKTU</t>
  </si>
  <si>
    <t>LÆGMANDSBESKRIVELSE</t>
  </si>
  <si>
    <t>NICHTTECHNISCHE PROJEKTZUSAMMENFASSUNG</t>
  </si>
  <si>
    <t>ΜΗ ΤΕΧΝΙΚΉ ΠΕΡΊΛΗΨΗ ΈΡΓΟΥ</t>
  </si>
  <si>
    <t>NON-TECHNICAL PROJECT SUMMARY</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</si>
  <si>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</si>
  <si>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</si>
  <si>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</si>
  <si>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</si>
  <si>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</si>
  <si>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</si>
  <si>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</si>
  <si>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</si>
  <si>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</si>
  <si>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t>SOMMARJU MHUX TEKNIKU TAL-PROĠETT</t>
  </si>
  <si>
    <t>NIET-TECHNISCHE PROJECTSAMENVATTING</t>
  </si>
  <si>
    <t>NIETECHNICZNE STRESZCZENIE PROJEKTU</t>
  </si>
  <si>
    <t>RESUMO NÃO TÉCNICO DO PROJETO</t>
  </si>
  <si>
    <t>REZUMATUL CU CARACTER NONTEHNIC AL PROIECTULUI</t>
  </si>
  <si>
    <t>NETECHNICKÉ ZHRNUTIE PROJEKTU</t>
  </si>
  <si>
    <t>NETEHNIČNI POVZETEK PROJEKTA</t>
  </si>
  <si>
    <t>POPULÄRVETENSKAPLIG SAMMANFATTNING (PVS)</t>
  </si>
  <si>
    <t>FORSØKSSAMMENDRAG</t>
  </si>
  <si>
    <t>at_least_one_purpose_mssg</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</si>
  <si>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</si>
  <si>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</si>
  <si>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</si>
  <si>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</si>
  <si>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</si>
  <si>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At least one purpose must be chosen!</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</si>
  <si>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</si>
  <si>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</si>
  <si>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</si>
  <si>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</si>
  <si>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</si>
  <si>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</si>
  <si>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</si>
  <si>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</si>
  <si>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</si>
  <si>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t>Irid jintgħażel mill-inqas għan wieħed!</t>
  </si>
  <si>
    <t>Er moet ten minste één doel worden gekozen!</t>
  </si>
  <si>
    <t>Należy wybrać co najmniej jeden cel!</t>
  </si>
  <si>
    <t>Selecionar pelo menos um fim.</t>
  </si>
  <si>
    <t>Trebuie ales cel puțin un scop!</t>
  </si>
  <si>
    <t>Musí sa vybrať aspoň jeden účel.</t>
  </si>
  <si>
    <t>Izbrati je treba vsaj en namen!</t>
  </si>
  <si>
    <t>Minst ett syfte måste väljas!</t>
  </si>
  <si>
    <t>Velg minst ett formål</t>
  </si>
  <si>
    <t>at_least_one_keyword_mssg</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</si>
  <si>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</si>
  <si>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</si>
  <si>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</si>
  <si>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</si>
  <si>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</si>
  <si>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At least one keyword must be entered!</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</si>
  <si>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</si>
  <si>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</si>
  <si>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</si>
  <si>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</si>
  <si>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</si>
  <si>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</si>
  <si>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</si>
  <si>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</si>
  <si>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</si>
  <si>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t>Trid tiddaħħal mill-inqas kelma ewlenija waħda!</t>
  </si>
  <si>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</si>
  <si>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</si>
  <si>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</si>
  <si>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</si>
  <si>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</si>
  <si>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</si>
  <si>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t>Minst ett nyckelord måste anges!</t>
  </si>
  <si>
    <t>Oppgi minst ett nøkkelord</t>
  </si>
  <si>
    <t>objectives_and_benefits_label</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</si>
  <si>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</si>
  <si>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</si>
  <si>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</si>
  <si>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</si>
  <si>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</si>
  <si>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Objectives and predicted benefits of the project</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</si>
  <si>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</si>
  <si>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</si>
  <si>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</si>
  <si>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</si>
  <si>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</si>
  <si>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</si>
  <si>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</si>
  <si>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</si>
  <si>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</si>
  <si>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t>Objettivi u benefiċċji previsti tal-proġett</t>
  </si>
  <si>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</si>
  <si>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</si>
  <si>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</si>
  <si>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</si>
  <si>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</si>
  <si>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</si>
  <si>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t>Projektets mål och förväntade nytta</t>
  </si>
  <si>
    <t>Mål og forventet utbytte av prosjektet</t>
  </si>
  <si>
    <t>projectObjectives_label</t>
  </si>
  <si>
    <t>Цели на проекта</t>
  </si>
  <si>
    <t>Cíle projektu</t>
  </si>
  <si>
    <t>Projektets formål</t>
  </si>
  <si>
    <t>Projektziele</t>
  </si>
  <si>
    <t>Στόχοι του έργου</t>
  </si>
  <si>
    <t>Objectives of the project</t>
  </si>
  <si>
    <t>Objetivos del proyecto</t>
  </si>
  <si>
    <t>Projekti eesmärgid</t>
  </si>
  <si>
    <t>Hankkeen tavoitteet</t>
  </si>
  <si>
    <t>Objectifs du projet</t>
  </si>
  <si>
    <t>Ciljevi projekta</t>
  </si>
  <si>
    <t>A projekt célkitűzései</t>
  </si>
  <si>
    <t>Obiettivi del progetto</t>
  </si>
  <si>
    <t>Projekto tikslai</t>
  </si>
  <si>
    <t>Projekta mērķi</t>
  </si>
  <si>
    <t>Objettivi tal-proġett</t>
  </si>
  <si>
    <t>Doelstellingen van het project</t>
  </si>
  <si>
    <t>Cele projektu</t>
  </si>
  <si>
    <t>Objetivos do projeto</t>
  </si>
  <si>
    <t>Obiectivele proiectului</t>
  </si>
  <si>
    <t>Ciele projektu</t>
  </si>
  <si>
    <t>Cilji projekta</t>
  </si>
  <si>
    <t>Projektets mål</t>
  </si>
  <si>
    <t>Prosjektets mål</t>
  </si>
  <si>
    <t>potentialBenefits_label</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</si>
  <si>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</si>
  <si>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</si>
  <si>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</si>
  <si>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</si>
  <si>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</si>
  <si>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Potential benefits likely to derive from this project</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</si>
  <si>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</si>
  <si>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</si>
  <si>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</si>
  <si>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</si>
  <si>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</si>
  <si>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</si>
  <si>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</si>
  <si>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</si>
  <si>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</si>
  <si>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t>Benefiċċji potenzjali li jistgħu jirriżultaw minn dan il-proġett</t>
  </si>
  <si>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</si>
  <si>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</si>
  <si>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</si>
  <si>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</si>
  <si>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</si>
  <si>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</si>
  <si>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t>Potentiell nytta som projektet kan medföra</t>
  </si>
  <si>
    <t>Forventet utbytte av prosjektet</t>
  </si>
  <si>
    <t>predicted_harms_label</t>
  </si>
  <si>
    <t>Прогнозирани вреди</t>
  </si>
  <si>
    <t>Předpokládané újmy</t>
  </si>
  <si>
    <t>Forventede skadevirkninger</t>
  </si>
  <si>
    <t>Zu erwartender Schaden</t>
  </si>
  <si>
    <t>Προβλεπόμενες βλάβες</t>
  </si>
  <si>
    <t>Predicted harms</t>
  </si>
  <si>
    <t>Daños previstos</t>
  </si>
  <si>
    <t>Eeldatav kahju</t>
  </si>
  <si>
    <t>Ennakoidut haitat</t>
  </si>
  <si>
    <t>Nuisances prévues</t>
  </si>
  <si>
    <t>Predviđene štete</t>
  </si>
  <si>
    <t>Várható ártalmak</t>
  </si>
  <si>
    <t>Danni previsti</t>
  </si>
  <si>
    <t>Numatoma žala</t>
  </si>
  <si>
    <t>Paredzamais kaitējums</t>
  </si>
  <si>
    <t>Ħsarat previsti</t>
  </si>
  <si>
    <t>Voorspelde schade</t>
  </si>
  <si>
    <t>Przewidywane szkody</t>
  </si>
  <si>
    <t>Danos previstos</t>
  </si>
  <si>
    <t>Prejudiciile preconizate</t>
  </si>
  <si>
    <t>Predpokladané ujmy</t>
  </si>
  <si>
    <t>Predvidena škoda</t>
  </si>
  <si>
    <t>Skador som kan förutses</t>
  </si>
  <si>
    <t>Skader som kan forutses</t>
  </si>
  <si>
    <t>procedures_label</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</si>
  <si>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</si>
  <si>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</si>
  <si>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</si>
  <si>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</si>
  <si>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</si>
  <si>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In what procedures will the animals typically be used</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</si>
  <si>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</si>
  <si>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</si>
  <si>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</si>
  <si>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</si>
  <si>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</si>
  <si>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</si>
  <si>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</si>
  <si>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</si>
  <si>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</si>
  <si>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t>F’liema proċeduri l-annimali tipikament se jintużaw</t>
  </si>
  <si>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</si>
  <si>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</si>
  <si>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</si>
  <si>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</si>
  <si>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</si>
  <si>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</si>
  <si>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t>Vilka försöksåtgärder kommer djuren vanligtvis att utsättas för</t>
  </si>
  <si>
    <t>Hva slags forsøk vil dyrene vanligvis bli brukt til?</t>
  </si>
  <si>
    <t>expectedImpacts_label</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</si>
  <si>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</si>
  <si>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</si>
  <si>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</si>
  <si>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</si>
  <si>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</si>
  <si>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Expected impacts/adverse effects on the animals</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</si>
  <si>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</si>
  <si>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</si>
  <si>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</si>
  <si>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</si>
  <si>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</si>
  <si>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</si>
  <si>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</si>
  <si>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</si>
  <si>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</si>
  <si>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t>Impatti/effetti avversi mistennija fuq l-annimali</t>
  </si>
  <si>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</si>
  <si>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</si>
  <si>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</si>
  <si>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</si>
  <si>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</si>
  <si>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</si>
  <si>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t>Förväntade typer av påverkan/negativa effekter på djuren</t>
  </si>
  <si>
    <t>Forventede virkninger/skadevirkninger på dyrene</t>
  </si>
  <si>
    <t>expectedHarms_label</t>
  </si>
  <si>
    <t>Очаквани вреди</t>
  </si>
  <si>
    <t>Očekávané újmy</t>
  </si>
  <si>
    <t>Erwartete Schäden</t>
  </si>
  <si>
    <t>Expected harms</t>
  </si>
  <si>
    <t>Ennakoitavissa olevat haittavaikutukset</t>
  </si>
  <si>
    <t>Nuisances prévisibles</t>
  </si>
  <si>
    <t>Očekivane štete</t>
  </si>
  <si>
    <t>Danni attesi</t>
  </si>
  <si>
    <t>Tikėtina žala</t>
  </si>
  <si>
    <t>Gaidāmais kaitējums</t>
  </si>
  <si>
    <t>Ħsarat mistennija</t>
  </si>
  <si>
    <t>Verwachte schade</t>
  </si>
  <si>
    <t>Spodziewane szkody</t>
  </si>
  <si>
    <t>Danos esperados</t>
  </si>
  <si>
    <t>Efecte nocive preconizate</t>
  </si>
  <si>
    <t>Očakávané škody</t>
  </si>
  <si>
    <t>Pričakovana škoda</t>
  </si>
  <si>
    <t>Förväntade skador</t>
  </si>
  <si>
    <t>Forventede skader</t>
  </si>
  <si>
    <t>fateList_label</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</si>
  <si>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</si>
  <si>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</si>
  <si>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</si>
  <si>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</si>
  <si>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</si>
  <si>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Fate of animals kept alive</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</si>
  <si>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</si>
  <si>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</si>
  <si>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</si>
  <si>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</si>
  <si>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</si>
  <si>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</si>
  <si>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</si>
  <si>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</si>
  <si>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</si>
  <si>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t>Destin tal-annimali miżmuma ħajjin</t>
  </si>
  <si>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</si>
  <si>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</si>
  <si>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</si>
  <si>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</si>
  <si>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</si>
  <si>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</si>
  <si>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t>Planer för djur som hålls vid liv</t>
  </si>
  <si>
    <t>Hva vil skje med dyr som holdes i live</t>
  </si>
  <si>
    <t>fateReasons_label</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</si>
  <si>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</si>
  <si>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</si>
  <si>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</si>
  <si>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</si>
  <si>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</si>
  <si>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Reasons for the planned fate of the animals after the procedure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</si>
  <si>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</si>
  <si>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</si>
  <si>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</si>
  <si>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</si>
  <si>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</si>
  <si>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</si>
  <si>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</si>
  <si>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</si>
  <si>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</si>
  <si>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t>Raġunijiet għad-destin ippjanat tal-annimali wara l-proċedura</t>
  </si>
  <si>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</si>
  <si>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</si>
  <si>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</si>
  <si>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</si>
  <si>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</si>
  <si>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</si>
  <si>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t>Skäl för djurens planerade öde efter försöket</t>
  </si>
  <si>
    <t>Begrunnelse for hva som vil skje med dyrene når forsøket er fullført.</t>
  </si>
  <si>
    <t>application_of_the_three_rs_label</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</si>
  <si>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</si>
  <si>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</si>
  <si>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</si>
  <si>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</si>
  <si>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</si>
  <si>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Application of the Three Rs</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</si>
  <si>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</si>
  <si>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</si>
  <si>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</si>
  <si>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</si>
  <si>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</si>
  <si>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</si>
  <si>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</si>
  <si>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rPr>
        <sz val="11"/>
        <rFont val="Calibri"/>
        <family val="2"/>
        <charset val="1"/>
      </rPr>
      <t>„Trijų R“ (angl. </t>
    </r>
    <r>
      <rPr>
        <i/>
        <sz val="11"/>
        <rFont val="Calibri"/>
        <family val="2"/>
        <charset val="1"/>
      </rPr>
      <t>Replace, Reduce and Refine</t>
    </r>
    <r>
      <rPr>
        <sz val="11"/>
        <rFont val="Calibri"/>
        <family val="2"/>
        <charset val="1"/>
      </rPr>
      <t>) principo (3Rp) taikymas</t>
    </r>
  </si>
  <si>
    <t>3R principu (aizstāšana, samazināšana, pilnveidošana) piemērošana</t>
  </si>
  <si>
    <t>Applikazzjoni tar-regola tat-Tliet R</t>
  </si>
  <si>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</si>
  <si>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</si>
  <si>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</si>
  <si>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</si>
  <si>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</si>
  <si>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</si>
  <si>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t>Tillämpning av 3R-principen</t>
  </si>
  <si>
    <t>Anvendelse av «3R»</t>
  </si>
  <si>
    <t>replacement_label</t>
  </si>
  <si>
    <t>1. Заместване</t>
  </si>
  <si>
    <t>1. Nahrazení</t>
  </si>
  <si>
    <t>1. Udskiftning</t>
  </si>
  <si>
    <t>1. Vermeidung</t>
  </si>
  <si>
    <t>1. Αντικατάσταση</t>
  </si>
  <si>
    <t>1. Replacement</t>
  </si>
  <si>
    <t>1. Reemplazo</t>
  </si>
  <si>
    <t>1. Asendamine</t>
  </si>
  <si>
    <t>1. Korvaaminen</t>
  </si>
  <si>
    <t>1. Remplacement</t>
  </si>
  <si>
    <t>1. Zamjena</t>
  </si>
  <si>
    <t>1. Helyettesítés</t>
  </si>
  <si>
    <t>1. Replacement (sostituzione)</t>
  </si>
  <si>
    <r>
      <rPr>
        <sz val="11"/>
        <rFont val="Calibri"/>
        <family val="2"/>
        <charset val="1"/>
      </rPr>
      <t xml:space="preserve">1. Gyvūnų naudojimo pakeitimas (angl. </t>
    </r>
    <r>
      <rPr>
        <i/>
        <sz val="11"/>
        <rFont val="Calibri"/>
        <family val="2"/>
        <charset val="1"/>
      </rPr>
      <t>Replacement</t>
    </r>
    <r>
      <rPr>
        <sz val="11"/>
        <rFont val="Calibri"/>
        <family val="2"/>
        <charset val="1"/>
      </rPr>
      <t>)</t>
    </r>
  </si>
  <si>
    <t>1. Aizstāšana</t>
  </si>
  <si>
    <t>1. Sostituzzjoni</t>
  </si>
  <si>
    <t>1. Vervanging</t>
  </si>
  <si>
    <t>1. Zastąpienie</t>
  </si>
  <si>
    <t>1. Substituição</t>
  </si>
  <si>
    <t>1. Înlocuirea</t>
  </si>
  <si>
    <t>1. Nahradenie</t>
  </si>
  <si>
    <t>1. Zamenjava</t>
  </si>
  <si>
    <t>1. Ersättning</t>
  </si>
  <si>
    <t>1. Erstatning (replacement)</t>
  </si>
  <si>
    <t>reduction_label</t>
  </si>
  <si>
    <t>2. Намаляване</t>
  </si>
  <si>
    <t>2. Omezení</t>
  </si>
  <si>
    <t>2. Reduktion</t>
  </si>
  <si>
    <t>2. Verminderung</t>
  </si>
  <si>
    <t>2. Μείωση</t>
  </si>
  <si>
    <t>2. Reduction</t>
  </si>
  <si>
    <t>2. Reducción</t>
  </si>
  <si>
    <t>2. Vähendamine</t>
  </si>
  <si>
    <t>2. Vähentäminen</t>
  </si>
  <si>
    <t>2. Réduction</t>
  </si>
  <si>
    <t>2. Smanjenje</t>
  </si>
  <si>
    <t>2. Csökkentés</t>
  </si>
  <si>
    <t>2. Reduction (riduzione)</t>
  </si>
  <si>
    <r>
      <rPr>
        <sz val="11"/>
        <rFont val="Calibri"/>
        <family val="2"/>
        <charset val="1"/>
      </rPr>
      <t xml:space="preserve">2. Gyvūnų naudojimo mažinimas (angl. </t>
    </r>
    <r>
      <rPr>
        <i/>
        <sz val="11"/>
        <rFont val="Calibri"/>
        <family val="2"/>
        <charset val="1"/>
      </rPr>
      <t>Reduction</t>
    </r>
    <r>
      <rPr>
        <sz val="11"/>
        <rFont val="Calibri"/>
        <family val="2"/>
        <charset val="1"/>
      </rPr>
      <t>)</t>
    </r>
  </si>
  <si>
    <t>2. Samazināšana</t>
  </si>
  <si>
    <t>2. Tnaqqis</t>
  </si>
  <si>
    <t>2. Vermindering</t>
  </si>
  <si>
    <t>2. Ograniczenie</t>
  </si>
  <si>
    <t>2. Redução</t>
  </si>
  <si>
    <t>2. Reducerea</t>
  </si>
  <si>
    <t>2. Obmedzenie</t>
  </si>
  <si>
    <t>2. Zmanjšanje</t>
  </si>
  <si>
    <t>2. Begränsning</t>
  </si>
  <si>
    <t>2. Reduksjon (reduction)</t>
  </si>
  <si>
    <t>refinement_label</t>
  </si>
  <si>
    <t>3. Облекчаване</t>
  </si>
  <si>
    <t>3. Šetrné zacházení</t>
  </si>
  <si>
    <t>3. Forfinelse</t>
  </si>
  <si>
    <t>3. Verbesserung</t>
  </si>
  <si>
    <t>3. Βελτίωση</t>
  </si>
  <si>
    <t>3. Refinement</t>
  </si>
  <si>
    <t>3. Refinamiento</t>
  </si>
  <si>
    <t>3. Täiustamine</t>
  </si>
  <si>
    <t>3. Parantaminen</t>
  </si>
  <si>
    <t>3. Raffinement</t>
  </si>
  <si>
    <t>3. Poboljšanje</t>
  </si>
  <si>
    <t>3. Tökéletesítés</t>
  </si>
  <si>
    <t>3. Refinement (perfezionamento)</t>
  </si>
  <si>
    <r>
      <rPr>
        <sz val="11"/>
        <rFont val="Calibri"/>
        <family val="2"/>
        <charset val="1"/>
      </rPr>
      <t xml:space="preserve">3. Gyvūnų naudojimo sąlygų gerinimas (angl. </t>
    </r>
    <r>
      <rPr>
        <i/>
        <sz val="11"/>
        <rFont val="Calibri"/>
        <family val="2"/>
        <charset val="1"/>
      </rPr>
      <t>Refinement</t>
    </r>
    <r>
      <rPr>
        <sz val="11"/>
        <rFont val="Calibri"/>
        <family val="2"/>
        <charset val="1"/>
      </rPr>
      <t>)</t>
    </r>
  </si>
  <si>
    <t>3. Pilnveidošana</t>
  </si>
  <si>
    <t>3. Irfinar</t>
  </si>
  <si>
    <t>3. Verfijning</t>
  </si>
  <si>
    <t>3. Udoskonalenie</t>
  </si>
  <si>
    <t>3. Refinamento</t>
  </si>
  <si>
    <t>3. Îmbunătățirea</t>
  </si>
  <si>
    <t>3. Zjemnenie</t>
  </si>
  <si>
    <t>3. Izboljšanje</t>
  </si>
  <si>
    <t>3. Förfining</t>
  </si>
  <si>
    <t>3. Forfining (refinement)</t>
  </si>
  <si>
    <t>speciesChoiceExplanation_label</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</si>
  <si>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</si>
  <si>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</si>
  <si>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</si>
  <si>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</si>
  <si>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</si>
  <si>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Explain the choice of species and the related life stages</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</si>
  <si>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</si>
  <si>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</si>
  <si>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</si>
  <si>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</si>
  <si>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</si>
  <si>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</si>
  <si>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</si>
  <si>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</si>
  <si>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</si>
  <si>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t>Spjega l-għażla tal-ispeċijiet u l-istadji tal-ħajja relatati</t>
  </si>
  <si>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</si>
  <si>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</si>
  <si>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</si>
  <si>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</si>
  <si>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</si>
  <si>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</si>
  <si>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t>Förklara valet av art och de relaterade utvecklingsstadierna</t>
  </si>
  <si>
    <t>Forklar valget av arter og utviklingsstadier</t>
  </si>
  <si>
    <t>project_selected_for_ra_label</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</si>
  <si>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</si>
  <si>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</si>
  <si>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</si>
  <si>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</si>
  <si>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</si>
  <si>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Project selected for Retrospective Assessment</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</si>
  <si>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</si>
  <si>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</si>
  <si>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</si>
  <si>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</si>
  <si>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</si>
  <si>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</si>
  <si>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</si>
  <si>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</si>
  <si>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</si>
  <si>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t>Proġett magħżul għal Valutazzjoni Retrospettiva</t>
  </si>
  <si>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</si>
  <si>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</si>
  <si>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</si>
  <si>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</si>
  <si>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</si>
  <si>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</si>
  <si>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t>Projekt valt för utvärdering i efterhand (UE)</t>
  </si>
  <si>
    <t>Prosjekt valgt ut til etterevaluering</t>
  </si>
  <si>
    <t>raSelected_label</t>
  </si>
  <si>
    <t>Проект, избран за РО?</t>
  </si>
  <si>
    <t>Projekt vybraný k ZP?</t>
  </si>
  <si>
    <t>Projekt udvalgt til RE?</t>
  </si>
  <si>
    <t>Projekt für RB vorgeschrieben?</t>
  </si>
  <si>
    <t>Έργο που επιλέχθηκε για ΑΑ;</t>
  </si>
  <si>
    <t>Project selected for RA?</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</si>
  <si>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</si>
  <si>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</si>
  <si>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</si>
  <si>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</si>
  <si>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</si>
  <si>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</si>
  <si>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</si>
  <si>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</si>
  <si>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</si>
  <si>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t>Proġett magħżul għall-RA?</t>
  </si>
  <si>
    <t>Project geselecteerd voor BA?</t>
  </si>
  <si>
    <t>Projekt wybrany do OR?</t>
  </si>
  <si>
    <t>Projeto selecionado para AR?</t>
  </si>
  <si>
    <t>Proiect selectat pentru ER?</t>
  </si>
  <si>
    <t>Projekt vybraný na RA?</t>
  </si>
  <si>
    <t>Projekt, izbran za RO?</t>
  </si>
  <si>
    <t>Projekt valt för UE?</t>
  </si>
  <si>
    <t>Vil prosjektet bli etterevaluert?</t>
  </si>
  <si>
    <t>raDeadline_label</t>
  </si>
  <si>
    <t>Краен срок за РО</t>
  </si>
  <si>
    <t>Lhůta pro ZP</t>
  </si>
  <si>
    <t>Frist for RE</t>
  </si>
  <si>
    <t>Frist für RB</t>
  </si>
  <si>
    <t>Προθεσμία για την ΑΑ</t>
  </si>
  <si>
    <t>Deadline for RA</t>
  </si>
  <si>
    <t>Plazo para la ER</t>
  </si>
  <si>
    <t>JH tähtaeg</t>
  </si>
  <si>
    <t>TA:n määräaika</t>
  </si>
  <si>
    <t>Délai pour AR</t>
  </si>
  <si>
    <t>Rok za retroaktivnu ocjenu</t>
  </si>
  <si>
    <t>A visszamenőleges hatályú értékelés határideje</t>
  </si>
  <si>
    <t>Termine per VR</t>
  </si>
  <si>
    <t>VAD galutinis terminas</t>
  </si>
  <si>
    <t>RI termiņš</t>
  </si>
  <si>
    <t>Skadenza għall-RA</t>
  </si>
  <si>
    <t>Termijn voor BA</t>
  </si>
  <si>
    <t>Termin OR</t>
  </si>
  <si>
    <t>Prazo para AR</t>
  </si>
  <si>
    <t>Termenul pentru ER</t>
  </si>
  <si>
    <t>Lehota na RA</t>
  </si>
  <si>
    <t>Rok za RO</t>
  </si>
  <si>
    <t>Tidsfrist för UE</t>
  </si>
  <si>
    <t>Frist for etterevaluering</t>
  </si>
  <si>
    <t>ra_reasons_label</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</si>
  <si>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</si>
  <si>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</si>
  <si>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</si>
  <si>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</si>
  <si>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</si>
  <si>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Reasons for retrospective assessment</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</si>
  <si>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</si>
  <si>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</si>
  <si>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</si>
  <si>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</si>
  <si>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</si>
  <si>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</si>
  <si>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</si>
  <si>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</si>
  <si>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</si>
  <si>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t>Raġunijiet għal valutazzjoni retrospettiva</t>
  </si>
  <si>
    <t>Reden voor de beoordeling achteraf</t>
  </si>
  <si>
    <t>Przyczyny oceny retrospektywnej</t>
  </si>
  <si>
    <t>Justificação da necessidade de avaliação retrospetiva</t>
  </si>
  <si>
    <t>Motive pentru evaluarea retroactivă</t>
  </si>
  <si>
    <t>Dôvody spätného posúdenia</t>
  </si>
  <si>
    <t>Razlogi za retrospektivno oceno</t>
  </si>
  <si>
    <t>Skäl till utvärdering i efterhand</t>
  </si>
  <si>
    <t>Grunn til at det vil bli foretatt etterevaluering</t>
  </si>
  <si>
    <t>severeProcedure_label</t>
  </si>
  <si>
    <t>Съдържа тежки процедури</t>
  </si>
  <si>
    <t>Zahrnuje závažné postupy</t>
  </si>
  <si>
    <t>Indeholder betydeligt belastende forsøg</t>
  </si>
  <si>
    <t>Umfasst schwere Verfahren</t>
  </si>
  <si>
    <t>Περιλαμβάνει βαριές διαδικασίες</t>
  </si>
  <si>
    <t>Contains severe procedures</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</si>
  <si>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</si>
  <si>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</si>
  <si>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</si>
  <si>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</si>
  <si>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</si>
  <si>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</si>
  <si>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</si>
  <si>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</si>
  <si>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</si>
  <si>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t>Fih proċeduri severi</t>
  </si>
  <si>
    <t>Bevat ernstige procedures</t>
  </si>
  <si>
    <t>Obejmuje dotkliwe procedury</t>
  </si>
  <si>
    <t>Compreende procedimentos «severos»</t>
  </si>
  <si>
    <t>Conține proceduri „severe”</t>
  </si>
  <si>
    <t>Zahŕňa kruté postupy</t>
  </si>
  <si>
    <t>Vključuje težavne postopke</t>
  </si>
  <si>
    <t>Inbegriper försök i kategorin avsevärd svårhet</t>
  </si>
  <si>
    <t>Omfatter belastende forsøk</t>
  </si>
  <si>
    <t>nhpUse_label</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</si>
  <si>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</si>
  <si>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</si>
  <si>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</si>
  <si>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</si>
  <si>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</si>
  <si>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Uses non-human primates</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</si>
  <si>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</si>
  <si>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</si>
  <si>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</si>
  <si>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</si>
  <si>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</si>
  <si>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</si>
  <si>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</si>
  <si>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</si>
  <si>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</si>
  <si>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t>Juża primati mhux umani</t>
  </si>
  <si>
    <t>Maakt gebruik van niet-menselijke primaten</t>
  </si>
  <si>
    <t>Wykorzystuje zwierzęta z rzędu naczelnych</t>
  </si>
  <si>
    <t>Utiliza primatas não humanos</t>
  </si>
  <si>
    <t>Utilizarea de primate neumane</t>
  </si>
  <si>
    <t>Používa subhumánne primáty</t>
  </si>
  <si>
    <t>Uporaba primatov razen človeka</t>
  </si>
  <si>
    <t>Icke-mänskliga primater används</t>
  </si>
  <si>
    <t>Bruk av primater (bortsett fra mennesker)</t>
  </si>
  <si>
    <t>other_label</t>
  </si>
  <si>
    <t>Друга причина</t>
  </si>
  <si>
    <t>Jiný důvod</t>
  </si>
  <si>
    <t>Anden grund</t>
  </si>
  <si>
    <t>Anderer Grund</t>
  </si>
  <si>
    <t>Άλλος λόγος</t>
  </si>
  <si>
    <t>Other reason</t>
  </si>
  <si>
    <t>Otros motivos</t>
  </si>
  <si>
    <t>Muu põhjus</t>
  </si>
  <si>
    <t>Muu syy</t>
  </si>
  <si>
    <t>Autre raison</t>
  </si>
  <si>
    <t>Drugi razlog</t>
  </si>
  <si>
    <t>Egyéb ok</t>
  </si>
  <si>
    <t>Altro motivo</t>
  </si>
  <si>
    <t>Kita priežastis</t>
  </si>
  <si>
    <t>Cits iemesls</t>
  </si>
  <si>
    <t>Raġuni oħra</t>
  </si>
  <si>
    <t>Andere reden</t>
  </si>
  <si>
    <t>Inna przyczyna</t>
  </si>
  <si>
    <t>Outro motivo</t>
  </si>
  <si>
    <t>Alt motiv</t>
  </si>
  <si>
    <t>Iný dôvod</t>
  </si>
  <si>
    <t>Drugi razlogi</t>
  </si>
  <si>
    <t>Annat skäl</t>
  </si>
  <si>
    <t>Annen grunn</t>
  </si>
  <si>
    <t>otherExplanation_label</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</si>
  <si>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</si>
  <si>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</si>
  <si>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</si>
  <si>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</si>
  <si>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</si>
  <si>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Explanation of the other reason for retrospective assessment</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</si>
  <si>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</si>
  <si>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</si>
  <si>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</si>
  <si>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</si>
  <si>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</si>
  <si>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</si>
  <si>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</si>
  <si>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</si>
  <si>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</si>
  <si>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t>Spjegazzjoni tar-raġuni l-oħra għall-valutazzjoni retrospettiva</t>
  </si>
  <si>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</si>
  <si>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</si>
  <si>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</si>
  <si>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</si>
  <si>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</si>
  <si>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</si>
  <si>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t>Förklaring av annat skäl till utvärdering i efterhand</t>
  </si>
  <si>
    <t>Oppgi av hvilken annen grunn prosjektet vil bli etterevaluert</t>
  </si>
  <si>
    <t>at_least_one_reason_mssg</t>
  </si>
  <si>
    <t>Трябва да се избере поне една причина!</t>
  </si>
  <si>
    <t>Der skal vælges mindst én grund!</t>
  </si>
  <si>
    <t>Bitte mindestens einen Grund angeben.</t>
  </si>
  <si>
    <t>Πρέπει να επιλεγεί τουλάχιστον ένας λόγος!</t>
  </si>
  <si>
    <t>At least one reason must be chosen!</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</si>
  <si>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</si>
  <si>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</si>
  <si>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</si>
  <si>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</si>
  <si>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</si>
  <si>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</si>
  <si>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</si>
  <si>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</si>
  <si>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</si>
  <si>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t>Għandha tintgħażel mill-inqas raġuni waħda!</t>
  </si>
  <si>
    <t>Er moet ten minste één reden worden gekozen!</t>
  </si>
  <si>
    <t>Należy wybrać co najmniej jeden powód!</t>
  </si>
  <si>
    <t>Escolher pelo menos um motivo.</t>
  </si>
  <si>
    <t>Trebuie ales cel puțin un motiv!</t>
  </si>
  <si>
    <t>Musí sa vybrať aspoň jeden dôvod.</t>
  </si>
  <si>
    <t>Izbrati je treba vsaj en razlog!</t>
  </si>
  <si>
    <t>Minst ett skäl måste väljas!</t>
  </si>
  <si>
    <t>Velg minst én grunn!</t>
  </si>
  <si>
    <t>inconsistent_value_mssg</t>
  </si>
  <si>
    <t>Неадекватна стойност!</t>
  </si>
  <si>
    <t>Nesourodá hodnota!</t>
  </si>
  <si>
    <t>Uoverensstemmende værdi!</t>
  </si>
  <si>
    <t>Inkonsistenter Wert</t>
  </si>
  <si>
    <t>Ασυνεπής τιμή!</t>
  </si>
  <si>
    <t>Inconsistent value!</t>
  </si>
  <si>
    <t>Valor incoherente</t>
  </si>
  <si>
    <t>Ühitamatu väärtus!</t>
  </si>
  <si>
    <t>Epäjohdonmukainen arvo!</t>
  </si>
  <si>
    <t>Valeur incohérente!</t>
  </si>
  <si>
    <t>Neskladna vrijednost!</t>
  </si>
  <si>
    <t>Nem megfelelő érték!</t>
  </si>
  <si>
    <t>Valore incongruente</t>
  </si>
  <si>
    <t>Nenuosekli vertė!</t>
  </si>
  <si>
    <t>Nesaskanīga vērtība!</t>
  </si>
  <si>
    <t>Valur inkonsistenti!</t>
  </si>
  <si>
    <t>Waarde is inconsistent!</t>
  </si>
  <si>
    <t>Wartość niespójna!</t>
  </si>
  <si>
    <t>Valor incoerente!</t>
  </si>
  <si>
    <t>Valoare inconsecventă!</t>
  </si>
  <si>
    <t>Nekonzistentná hodnota.</t>
  </si>
  <si>
    <t>Neskladna vrednost!</t>
  </si>
  <si>
    <t>Inkonsekvent värde!</t>
  </si>
  <si>
    <t>Ugyldig verdi!</t>
  </si>
  <si>
    <t>ntsNationalId_label</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</si>
  <si>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</si>
  <si>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</si>
  <si>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</si>
  <si>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</si>
  <si>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</si>
  <si>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NTS national identifier</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</si>
  <si>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</si>
  <si>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</si>
  <si>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</si>
  <si>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</si>
  <si>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</si>
  <si>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</si>
  <si>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</si>
  <si>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</si>
  <si>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</si>
  <si>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t>Identifikatur nazzjonali tal-NTS</t>
  </si>
  <si>
    <t>Nationale identificatiecode van de NTS</t>
  </si>
  <si>
    <t>Identyfikator krajowy SND</t>
  </si>
  <si>
    <t>Código de identificação nacional do RNT</t>
  </si>
  <si>
    <t>Identificatorul național RNT</t>
  </si>
  <si>
    <t>Národný identifikátor NZP</t>
  </si>
  <si>
    <t>Nacionalna identifikacijska oznaka NTP</t>
  </si>
  <si>
    <t>Nationell identifierare för PVS</t>
  </si>
  <si>
    <t>Nasjonal referanse for forsøkssammendraget</t>
  </si>
  <si>
    <t>not_applicable_mssg</t>
  </si>
  <si>
    <t>Не важи за избраната държава!</t>
  </si>
  <si>
    <t>Neplatí pro vybranou zemi!</t>
  </si>
  <si>
    <t>Kan ikke bruges for det valgte land!</t>
  </si>
  <si>
    <t>Entfällt für das ausgewählte Land.</t>
  </si>
  <si>
    <t>Δεν ισχύει για την επιλεγμένη χώρα!</t>
  </si>
  <si>
    <t>Not applicable for selected country!</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</si>
  <si>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</si>
  <si>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</si>
  <si>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</si>
  <si>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</si>
  <si>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</si>
  <si>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</si>
  <si>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</si>
  <si>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</si>
  <si>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</si>
  <si>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t>Mhux applikabbli għall-pajjiż magħżul!</t>
  </si>
  <si>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</si>
  <si>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</si>
  <si>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</si>
  <si>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</si>
  <si>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</si>
  <si>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</si>
  <si>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t>Ej tillämpligt för det valda landet!</t>
  </si>
  <si>
    <t>Ikke gyldig for landet du valgte</t>
  </si>
  <si>
    <t>to_be_filled_in_by_authority_mssg</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</si>
  <si>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</si>
  <si>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</si>
  <si>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</si>
  <si>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</si>
  <si>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</si>
  <si>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To be filled-in by competent authority!</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</si>
  <si>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</si>
  <si>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</si>
  <si>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</si>
  <si>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</si>
  <si>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</si>
  <si>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</si>
  <si>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</si>
  <si>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</si>
  <si>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</si>
  <si>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t>Għandha timtela mill-awtorità kompetenti!</t>
  </si>
  <si>
    <t>Door de bevoegde autoriteit in te vullen!</t>
  </si>
  <si>
    <t>Wypełnia właściwy organ!</t>
  </si>
  <si>
    <t>A preencher pela autoridade competente.</t>
  </si>
  <si>
    <t>A se completa de către autoritatea competentă!</t>
  </si>
  <si>
    <t>Vyplní príslušný orgán.</t>
  </si>
  <si>
    <t>Izpolni pristojni organ!</t>
  </si>
  <si>
    <t>Fylls i av behörig myndighet!</t>
  </si>
  <si>
    <t>Skal fylles ut av vedkommende myndighet</t>
  </si>
  <si>
    <t>total_number_mssg</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</si>
  <si>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</si>
  <si>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</si>
  <si>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</si>
  <si>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</si>
  <si>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</si>
  <si>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Total number must be higher than 0!</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</si>
  <si>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</si>
  <si>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</si>
  <si>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</si>
  <si>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</si>
  <si>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</si>
  <si>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</si>
  <si>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</si>
  <si>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</si>
  <si>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</si>
  <si>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t>In-numru totali jrid ikun ogħla minn 0!</t>
  </si>
  <si>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</si>
  <si>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</si>
  <si>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</si>
  <si>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</si>
  <si>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</si>
  <si>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</si>
  <si>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t>Det totala antalet måste vara högre än 0!</t>
  </si>
  <si>
    <t>Samlet antall må være høyere enn 0</t>
  </si>
  <si>
    <t>select_species_mssg</t>
  </si>
  <si>
    <t>Трябва да се изберат видове!</t>
  </si>
  <si>
    <t>Zvolte druh!</t>
  </si>
  <si>
    <t>Der skal vælges en art!</t>
  </si>
  <si>
    <t>Bitte die Art angeben.</t>
  </si>
  <si>
    <t>Τα είδη πρέπει να επιλέγονται!</t>
  </si>
  <si>
    <t>Species must be selected!</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</si>
  <si>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</si>
  <si>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</si>
  <si>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</si>
  <si>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</si>
  <si>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</si>
  <si>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</si>
  <si>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</si>
  <si>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</si>
  <si>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</si>
  <si>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t>L-ispeċijiet iridu jintgħażlu!</t>
  </si>
  <si>
    <t>Soort moet worden geselecteerd!</t>
  </si>
  <si>
    <t>Należy wybrać gatunek!</t>
  </si>
  <si>
    <t>Selecionar a espécie.</t>
  </si>
  <si>
    <t>Speciile trebuie selectate!</t>
  </si>
  <si>
    <t>Musí sa vybrať druh.</t>
  </si>
  <si>
    <t>Treba je izbrati vrsto!</t>
  </si>
  <si>
    <t>Art måste väljas!</t>
  </si>
  <si>
    <t>Velg arter</t>
  </si>
  <si>
    <t>at_least_one_row_mssg</t>
  </si>
  <si>
    <t>Най-малко 1 ред!</t>
  </si>
  <si>
    <t>Alespoň 1 řádek!</t>
  </si>
  <si>
    <t>Der skal udfyldes mindst én række!</t>
  </si>
  <si>
    <t>Mindestens 1 Zeile.</t>
  </si>
  <si>
    <t>Τουλάχιστον 1 σειρά!</t>
  </si>
  <si>
    <t>At least 1 row!</t>
  </si>
  <si>
    <t>Al menos 1 fila</t>
  </si>
  <si>
    <t>Vähemalt üks rida!</t>
  </si>
  <si>
    <t>Vähintään yksi rivi!</t>
  </si>
  <si>
    <t>Au moins 1 ligne!</t>
  </si>
  <si>
    <t>Najmanje 1 redak!</t>
  </si>
  <si>
    <t>Legalább 1 sor!</t>
  </si>
  <si>
    <t>Almeno una riga</t>
  </si>
  <si>
    <t>Bent 1 eilutė!</t>
  </si>
  <si>
    <t>Vismaz 1 rinda!</t>
  </si>
  <si>
    <t>Mill-inqas ringiela 1!</t>
  </si>
  <si>
    <t>Minstens 1 rij!</t>
  </si>
  <si>
    <t>Co najmniej 1 wiersz!</t>
  </si>
  <si>
    <t>Pelo menos uma linha.</t>
  </si>
  <si>
    <t>Cel puțin 1 rând!</t>
  </si>
  <si>
    <t>Aspoň 1 riadok.</t>
  </si>
  <si>
    <t>Vsaj 1 vrstica!</t>
  </si>
  <si>
    <t>Minst 1 rad!</t>
  </si>
  <si>
    <t>Det må være minst 1 rad</t>
  </si>
  <si>
    <t>species_label</t>
  </si>
  <si>
    <t>Вид</t>
  </si>
  <si>
    <t>Druh</t>
  </si>
  <si>
    <t>Art</t>
  </si>
  <si>
    <t>Είδος</t>
  </si>
  <si>
    <t>Species</t>
  </si>
  <si>
    <t>Especie</t>
  </si>
  <si>
    <t>Liik</t>
  </si>
  <si>
    <t>Laji</t>
  </si>
  <si>
    <t>Espèce</t>
  </si>
  <si>
    <t>Vrsta</t>
  </si>
  <si>
    <t>Faj</t>
  </si>
  <si>
    <t>Specie</t>
  </si>
  <si>
    <t>Rūšis</t>
  </si>
  <si>
    <t>Suga</t>
  </si>
  <si>
    <t>Speċijiet</t>
  </si>
  <si>
    <t>Soort:</t>
  </si>
  <si>
    <t>Gatunek</t>
  </si>
  <si>
    <t>Espécie</t>
  </si>
  <si>
    <t>Specia</t>
  </si>
  <si>
    <t>Arter</t>
  </si>
  <si>
    <t>non_recovery_label</t>
  </si>
  <si>
    <t>С необратим край</t>
  </si>
  <si>
    <t>Postupy, při nichž již zvíře nenabude vědomí</t>
  </si>
  <si>
    <t>Terminal</t>
  </si>
  <si>
    <t>Keine Wiederherstellung der Lebensfunktion</t>
  </si>
  <si>
    <t>Καταληκτική (χωρίς ανάνηψη)</t>
  </si>
  <si>
    <t>Non-recovery</t>
  </si>
  <si>
    <t>Sin posibilidad de recuperación</t>
  </si>
  <si>
    <t>Taastumatu elutegevusega</t>
  </si>
  <si>
    <t>Ei toipumista</t>
  </si>
  <si>
    <t>Sans réveil</t>
  </si>
  <si>
    <t>Nepovratna</t>
  </si>
  <si>
    <t>Érzéstelenítéses-túlaltatásos</t>
  </si>
  <si>
    <t>Non risveglio</t>
  </si>
  <si>
    <t>Be galimybės atsigauti</t>
  </si>
  <si>
    <t>Neatgriezeniska</t>
  </si>
  <si>
    <t>Mingħajr irkupru</t>
  </si>
  <si>
    <t>Terminaal</t>
  </si>
  <si>
    <t>Terminalne</t>
  </si>
  <si>
    <t>Não recuperação</t>
  </si>
  <si>
    <t>Fără recuperare</t>
  </si>
  <si>
    <t>Postup bez možnosti zotavenia (t. j. bez nadobudnutia vedomia):</t>
  </si>
  <si>
    <t>mild_label</t>
  </si>
  <si>
    <t>Лека</t>
  </si>
  <si>
    <t>Mírné</t>
  </si>
  <si>
    <t>Let belastende</t>
  </si>
  <si>
    <t>Gering</t>
  </si>
  <si>
    <t>Ήπια</t>
  </si>
  <si>
    <t>Mild</t>
  </si>
  <si>
    <t>Leve</t>
  </si>
  <si>
    <t>Leebe</t>
  </si>
  <si>
    <t>Lievä</t>
  </si>
  <si>
    <t>Légère</t>
  </si>
  <si>
    <t>Blaga</t>
  </si>
  <si>
    <t>Enyhe</t>
  </si>
  <si>
    <t>Lieve</t>
  </si>
  <si>
    <t>Lengva</t>
  </si>
  <si>
    <t>Viegla</t>
  </si>
  <si>
    <t>Ħafifa</t>
  </si>
  <si>
    <t>Licht</t>
  </si>
  <si>
    <t>Łagodne</t>
  </si>
  <si>
    <t>Ligeira</t>
  </si>
  <si>
    <t>Superficială</t>
  </si>
  <si>
    <t>Slabé, t. j. mierne</t>
  </si>
  <si>
    <t>Ringa svårhet</t>
  </si>
  <si>
    <t>moderate_label</t>
  </si>
  <si>
    <t>Средна</t>
  </si>
  <si>
    <t>Střední</t>
  </si>
  <si>
    <t>Moderat</t>
  </si>
  <si>
    <t>Mittel</t>
  </si>
  <si>
    <t>Μέτρια</t>
  </si>
  <si>
    <t>Moderate</t>
  </si>
  <si>
    <t>Moderada</t>
  </si>
  <si>
    <t>Mõõdukas</t>
  </si>
  <si>
    <t>Kohtalainen</t>
  </si>
  <si>
    <t>Modérée</t>
  </si>
  <si>
    <t>Umjerena</t>
  </si>
  <si>
    <t>Mérsékelt</t>
  </si>
  <si>
    <t>Moderata</t>
  </si>
  <si>
    <t>Vidutinio sunkumo</t>
  </si>
  <si>
    <t>Mērena</t>
  </si>
  <si>
    <t>Matig</t>
  </si>
  <si>
    <t>Umiarkowane</t>
  </si>
  <si>
    <t>Moderată</t>
  </si>
  <si>
    <t>Stredné</t>
  </si>
  <si>
    <t>Zmerna</t>
  </si>
  <si>
    <t>Måttlig svårhet</t>
  </si>
  <si>
    <t>severe_label</t>
  </si>
  <si>
    <t>Тежка</t>
  </si>
  <si>
    <t>Závažné</t>
  </si>
  <si>
    <t>Betydeligt belastende</t>
  </si>
  <si>
    <t>Schwer</t>
  </si>
  <si>
    <t>Βαριά</t>
  </si>
  <si>
    <t>Severe</t>
  </si>
  <si>
    <t>Intensa</t>
  </si>
  <si>
    <t>Raske</t>
  </si>
  <si>
    <t>Vakava</t>
  </si>
  <si>
    <t>Sévère</t>
  </si>
  <si>
    <t>Teška</t>
  </si>
  <si>
    <t>Súlyos</t>
  </si>
  <si>
    <t>Grave</t>
  </si>
  <si>
    <t>Sunki</t>
  </si>
  <si>
    <t>Smaga</t>
  </si>
  <si>
    <t>Severa</t>
  </si>
  <si>
    <t>Ernstig</t>
  </si>
  <si>
    <t>Dotkliwe</t>
  </si>
  <si>
    <t>Severă</t>
  </si>
  <si>
    <t>Kruté (závažné)</t>
  </si>
  <si>
    <t>Težavna</t>
  </si>
  <si>
    <t>Avsevärd svårhet</t>
  </si>
  <si>
    <t>Alvorlig</t>
  </si>
  <si>
    <t>total_number_label</t>
  </si>
  <si>
    <t>Общ брой</t>
  </si>
  <si>
    <t>Celkový počet</t>
  </si>
  <si>
    <t>Samlet antal</t>
  </si>
  <si>
    <t>Gesamtzahl</t>
  </si>
  <si>
    <t>Συνολικός αριθμός</t>
  </si>
  <si>
    <t>Total number</t>
  </si>
  <si>
    <t>Número total</t>
  </si>
  <si>
    <t>Koguarv</t>
  </si>
  <si>
    <t>Yhteensä</t>
  </si>
  <si>
    <t>Nombre total</t>
  </si>
  <si>
    <t>Ukupni broj</t>
  </si>
  <si>
    <t>Összesen</t>
  </si>
  <si>
    <t>Numero totale</t>
  </si>
  <si>
    <t>Bendras skaičius</t>
  </si>
  <si>
    <t>Kopskaits</t>
  </si>
  <si>
    <t>Għadd totali</t>
  </si>
  <si>
    <t>Totaal aantal</t>
  </si>
  <si>
    <t>Łączna liczba</t>
  </si>
  <si>
    <t>Număr total</t>
  </si>
  <si>
    <t>Skupno število</t>
  </si>
  <si>
    <t>Totalt antal</t>
  </si>
  <si>
    <t>I alt</t>
  </si>
  <si>
    <t>reused_label</t>
  </si>
  <si>
    <t>Повторно използвани</t>
  </si>
  <si>
    <t>Opětovné použití</t>
  </si>
  <si>
    <t>Genanvendes</t>
  </si>
  <si>
    <t>Erneut verwendet</t>
  </si>
  <si>
    <t>Επαναχρησιμοποίηση</t>
  </si>
  <si>
    <t>Reused</t>
  </si>
  <si>
    <t>Reutilización</t>
  </si>
  <si>
    <t>Taaskasutatud</t>
  </si>
  <si>
    <t>Uudelleenkäyttö</t>
  </si>
  <si>
    <t>Réutilisé</t>
  </si>
  <si>
    <t>Ponovno korištene</t>
  </si>
  <si>
    <t>Ismételten felhasznált</t>
  </si>
  <si>
    <t>Riutilizzati</t>
  </si>
  <si>
    <t>Pakartotinai naudojama</t>
  </si>
  <si>
    <t>Atkalizmantošana</t>
  </si>
  <si>
    <t>Użu mill-ġdid</t>
  </si>
  <si>
    <t>Hergebruikt</t>
  </si>
  <si>
    <t>Do ponownego wykorzystania</t>
  </si>
  <si>
    <t>Reutilizado</t>
  </si>
  <si>
    <t>Reutilizat</t>
  </si>
  <si>
    <t>Opakovane použité</t>
  </si>
  <si>
    <t>Ponovna uporaba</t>
  </si>
  <si>
    <t>Återanvänds</t>
  </si>
  <si>
    <t>Brukt på nytt</t>
  </si>
  <si>
    <t>returned_label</t>
  </si>
  <si>
    <t>Върнати</t>
  </si>
  <si>
    <t>Navrácení</t>
  </si>
  <si>
    <t>Sættes tilbage</t>
  </si>
  <si>
    <t>Zurückgebracht</t>
  </si>
  <si>
    <t>Επεστράφη</t>
  </si>
  <si>
    <t>Returned</t>
  </si>
  <si>
    <t>Devuelto</t>
  </si>
  <si>
    <t>Tagasi viidud</t>
  </si>
  <si>
    <t>Palautettu</t>
  </si>
  <si>
    <t>Replacé dans l’habitat naturel ou le système d’élevage</t>
  </si>
  <si>
    <t>Vraćene</t>
  </si>
  <si>
    <t>Visszajuttatott</t>
  </si>
  <si>
    <t>Reintrodotti</t>
  </si>
  <si>
    <t>Grąžinta</t>
  </si>
  <si>
    <t>Atgriešana</t>
  </si>
  <si>
    <t>Irritornati</t>
  </si>
  <si>
    <t>Teruggeplaatst</t>
  </si>
  <si>
    <t>Przywróconych</t>
  </si>
  <si>
    <t>Devolvido</t>
  </si>
  <si>
    <t>Returnat</t>
  </si>
  <si>
    <t>Vrátené do prirodzeného biotopu/systému chovu</t>
  </si>
  <si>
    <t>Vrnjene</t>
  </si>
  <si>
    <t>Återförs</t>
  </si>
  <si>
    <t>Sendt tilbake</t>
  </si>
  <si>
    <t>rehomed_label</t>
  </si>
  <si>
    <t>Повторно настанени</t>
  </si>
  <si>
    <t>Umístění do zájmového chovu</t>
  </si>
  <si>
    <t>Genhuses</t>
  </si>
  <si>
    <t>Privat untergebracht</t>
  </si>
  <si>
    <t>Επαναπατρισμός</t>
  </si>
  <si>
    <t>Rehomed</t>
  </si>
  <si>
    <t>Realojado</t>
  </si>
  <si>
    <t>Uude elukohta paigutatud</t>
  </si>
  <si>
    <t>Luovutettu yksityishenkilöiden hoitoon</t>
  </si>
  <si>
    <t>Proposé à l’adoption</t>
  </si>
  <si>
    <t>Ponovno udomljene</t>
  </si>
  <si>
    <t>Kihelyezett</t>
  </si>
  <si>
    <t>Reinseriti</t>
  </si>
  <si>
    <t>Atiduotina</t>
  </si>
  <si>
    <t>Izmitināšana jaunā mājvietā</t>
  </si>
  <si>
    <t>Riakkomodati</t>
  </si>
  <si>
    <t>Geadopteerd</t>
  </si>
  <si>
    <t>Objętych programami znajdowania nowego domu</t>
  </si>
  <si>
    <t>Relocat</t>
  </si>
  <si>
    <t>Vrátené do domácej starostlivosti</t>
  </si>
  <si>
    <t>Vrnjene v domače okolje</t>
  </si>
  <si>
    <t>Utplaceras</t>
  </si>
  <si>
    <t>Nytt hjem</t>
  </si>
  <si>
    <t>projectObjectives_instr</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</si>
  <si>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</si>
  <si>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</si>
  <si>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</si>
  <si>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</si>
  <si>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</si>
  <si>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Describe the objectives of the project (for example, addressing certain scientific unknowns, or scientific or clinical needs).</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</si>
  <si>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</si>
  <si>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</si>
  <si>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</si>
  <si>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</si>
  <si>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</si>
  <si>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</si>
  <si>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</si>
  <si>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</si>
  <si>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</si>
  <si>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t>Iddeskrivi l-objettivi tal-proġett (pereżempju, l-indirizzar ta’ ċerti elementi mhux magħrufa xjentifiċi, jew ħtiġijiet xjentifiċi jew kliniċi).</t>
  </si>
  <si>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</si>
  <si>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</si>
  <si>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</si>
  <si>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</si>
  <si>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</si>
  <si>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</si>
  <si>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t>Beskriv projektets mål (de vetenskapliga frågorna, eller de vetenskapliga/kliniska behov som ska mötas).</t>
  </si>
  <si>
    <t>Beskriv prosjektets mål (f.eks. undersøkelse av vitenskapelige spørsmål eller vitenskapelige/kliniske behov).</t>
  </si>
  <si>
    <t>potentialBenefits_instr</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</si>
  <si>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</si>
  <si>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</si>
  <si>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</si>
  <si>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</si>
  <si>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</si>
  <si>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</si>
  <si>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</si>
  <si>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</si>
  <si>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</si>
  <si>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</si>
  <si>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</si>
  <si>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</si>
  <si>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</si>
  <si>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</si>
  <si>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</si>
  <si>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</si>
  <si>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</si>
  <si>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</si>
  <si>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</si>
  <si>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</si>
  <si>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</si>
  <si>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</si>
  <si>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</si>
  <si>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</si>
  <si>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procedures_instr</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</si>
  <si>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</si>
  <si>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</si>
  <si>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</si>
  <si>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</si>
  <si>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</si>
  <si>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In what procedures will the animals typically be used (for example, injections, surgical procedures)? Indicate the number and duration of these procedures.</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</si>
  <si>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</si>
  <si>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</si>
  <si>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</si>
  <si>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</si>
  <si>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</si>
  <si>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</si>
  <si>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</si>
  <si>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</si>
  <si>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</si>
  <si>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t>F’liema proċeduri se jintużaw tipikament l-annimali (pereżempju, titqib, proċeduri kirurġiċi)? Indika l-għadd u d-durata ta’ dawn il-proċeduri.</t>
  </si>
  <si>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</si>
  <si>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</si>
  <si>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</si>
  <si>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</si>
  <si>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</si>
  <si>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</si>
  <si>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t>Vilka försöksåtgärder kommer djuren vanligtvis att utsättas för (t.ex. injektioner, kirurgiska ingrepp)? Ange försöksåtgärdernas antal och varaktighet.</t>
  </si>
  <si>
    <t>Hva slags forsøk vil dyrene vanligvis bli brukt til (for eksempel innføring av kanyler, kirurgiske inngrep)? Oppgi antall forsøk og varighet.</t>
  </si>
  <si>
    <t>expectedImpacts_instr</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</si>
  <si>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</si>
  <si>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</si>
  <si>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</si>
  <si>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</si>
  <si>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</si>
  <si>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What are the expected impacts/adverse effects on the animals, for example pain, weight loss, inactivity/reduced mobility, stress, abnormal behaviour, and the duration of those effects?</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</si>
  <si>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</si>
  <si>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</si>
  <si>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</si>
  <si>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</si>
  <si>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</si>
  <si>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</si>
  <si>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</si>
  <si>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</si>
  <si>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</si>
  <si>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t>X’inhuma l-impatti mistennija jew l-effetti negattivi fuq l-annimali, pereżempju l-uġigħ, it-telf fil-piż, in-nuqqas ta’ attività / it-tnaqqis tal-mobilità, l-istress, l-imġiba anormali, u t-tul ta’ dawn l-effetti?</t>
  </si>
  <si>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</si>
  <si>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</si>
  <si>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</si>
  <si>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</si>
  <si>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</si>
  <si>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</si>
  <si>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t>Vilka typer av påverkan/negativa effekter på djuren kan förutses, till exempel smärta, viktminskning, inaktivitet/nedsatt rörlighet, stress, onormalt beteende, och hur lång är varaktigheten av dessa effekter?</t>
  </si>
  <si>
    <t xml:space="preserve">Hva er de forventede virkningene/skadevirkningene på dyrene (f.eks. smerte, vekttap, inaktivitet/redusert mobilitet, stress, unormal atferd), og hvor lenge ventes </t>
  </si>
  <si>
    <t>expectedHarms_instr</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</si>
  <si>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</si>
  <si>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</si>
  <si>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</si>
  <si>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</si>
  <si>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</si>
  <si>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What species and numbers of animals are expected to be used? What are the expected severities and the numbers of animals in each severity category (per species)?</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</si>
  <si>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</si>
  <si>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</si>
  <si>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</si>
  <si>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</si>
  <si>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</si>
  <si>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</si>
  <si>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</si>
  <si>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</si>
  <si>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</si>
  <si>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t>Liema speċijiet u għadd ta’ annimali huma mistennija li jintużaw? X’inhuma l-gradi ta’ severità mistennija tal-proċeduri u l-għadd ta’ annimali f’kull kategorija ta’ severità (għal kull speċi)?</t>
  </si>
  <si>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</si>
  <si>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</si>
  <si>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</si>
  <si>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</si>
  <si>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</si>
  <si>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</si>
  <si>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t>Vilka arter och hur många djur förväntas användas? Vilka är de förväntade svårhetsgraderna och hur många djur omfattas av varje svårhetsgrad (specificera antal per art)?</t>
  </si>
  <si>
    <t>Hvilke arter og hvor mange dyr forventes brukt? Hva er forventet belastningsgrad, og hvor mange dyr omfattes av hver belastningsgrad (per art)?</t>
  </si>
  <si>
    <t>fateList_instr</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</si>
  <si>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</si>
  <si>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</si>
  <si>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</si>
  <si>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</si>
  <si>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</si>
  <si>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What will happen to the animals kept alive at the end of the procedure?</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</si>
  <si>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</si>
  <si>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</si>
  <si>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</si>
  <si>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</si>
  <si>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</si>
  <si>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</si>
  <si>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</si>
  <si>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</si>
  <si>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</si>
  <si>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t>X’se jiġri lill-annimali li jinżammu ħajjin fl-aħħar tal-proċedura?</t>
  </si>
  <si>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</si>
  <si>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</si>
  <si>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</si>
  <si>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</si>
  <si>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</si>
  <si>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</si>
  <si>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t>Vad kommer att hända med djuren som hålls vid liv i slutet av försöket?</t>
  </si>
  <si>
    <t>Hva vil skje med dyr som holdes i live etter at forsøket er fullført?</t>
  </si>
  <si>
    <t>fateReasons_instr</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</si>
  <si>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</si>
  <si>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</si>
  <si>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</si>
  <si>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</si>
  <si>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</si>
  <si>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Please provide reasons for the planned fate of the animals after the procedure.</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</si>
  <si>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</si>
  <si>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</si>
  <si>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</si>
  <si>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</si>
  <si>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</si>
  <si>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</si>
  <si>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</si>
  <si>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</si>
  <si>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t>Jekk jogħġbok agħti raġunijiet għad-destin ippjanat tal-annimali wara l-proċedura.</t>
  </si>
  <si>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</si>
  <si>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</si>
  <si>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</si>
  <si>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</si>
  <si>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</si>
  <si>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</si>
  <si>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t>Ange skälen för djurens planerade öde efter försöket.</t>
  </si>
  <si>
    <t>Begrunn hva som skal skje med dyrene etter forsøket.</t>
  </si>
  <si>
    <t>replacement_instr</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</si>
  <si>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</si>
  <si>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</si>
  <si>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</si>
  <si>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</si>
  <si>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</si>
  <si>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State which non-animal alternatives are available in this field and why they cannot be used for the purposes of the project.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</si>
  <si>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</si>
  <si>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</si>
  <si>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</si>
  <si>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</si>
  <si>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</si>
  <si>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</si>
  <si>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</si>
  <si>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</si>
  <si>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</si>
  <si>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t>Iddikjara liema alternattivi li ma jinvolvux annimali huma disponibbli f’dan il-qasam u għaliex ma jistgħux jintużaw għall-finijiet tal-proġett.</t>
  </si>
  <si>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</si>
  <si>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</si>
  <si>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</si>
  <si>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</si>
  <si>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</si>
  <si>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</si>
  <si>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t>Ange vilka djurfria alternativ som finns tillgängliga på detta område och varför de inte kan användas för projektets ändamål.</t>
  </si>
  <si>
    <t>Oppgi hvilke alternativer som finnes på dette området som ikke omfatter forsøk på dyr, og hvorfor de ikke kan brukes for prosjektets formål.</t>
  </si>
  <si>
    <t>reduction_instr</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</si>
  <si>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</si>
  <si>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</si>
  <si>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</si>
  <si>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</si>
  <si>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</si>
  <si>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</si>
  <si>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</si>
  <si>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</si>
  <si>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</si>
  <si>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</si>
  <si>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</si>
  <si>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</si>
  <si>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</si>
  <si>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</si>
  <si>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</si>
  <si>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</si>
  <si>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</si>
  <si>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</si>
  <si>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</si>
  <si>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</si>
  <si>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</si>
  <si>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</si>
  <si>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</si>
  <si>
    <t xml:space="preserve">Gjør rede for hvordan antallet dyr i prosjektet ble fastsatt. Beskriv hvilke skritt som ble tatt for å redusere antallet dyr og prinsippene som ble lagt til grunn for utforming av </t>
  </si>
  <si>
    <t>refinement_instr</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</si>
  <si>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</si>
  <si>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</si>
  <si>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</si>
  <si>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</si>
  <si>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</si>
  <si>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</si>
  <si>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</si>
  <si>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</si>
  <si>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</si>
  <si>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</si>
  <si>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</si>
  <si>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</si>
  <si>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</si>
  <si>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</si>
  <si>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</si>
  <si>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</si>
  <si>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</si>
  <si>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</si>
  <si>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</si>
  <si>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</si>
  <si>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</si>
  <si>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</si>
  <si>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</si>
  <si>
    <t xml:space="preserve">Gi eksempler på særskilte tiltak (økt overvåkning, postoperativ pleie, smertelindring, trening av dyrene) som vil bli truffet for i størst mulig grad å begrense velferdskostnader </t>
  </si>
  <si>
    <t>numbers_per_severity_label</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</si>
  <si>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</si>
  <si>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</si>
  <si>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</si>
  <si>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</si>
  <si>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</si>
  <si>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Estimated numbers per severity</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</si>
  <si>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</si>
  <si>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</si>
  <si>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</si>
  <si>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</si>
  <si>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</si>
  <si>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</si>
  <si>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</si>
  <si>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</si>
  <si>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</si>
  <si>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t>Għadd stmat għal kull severità</t>
  </si>
  <si>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</si>
  <si>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</si>
  <si>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</si>
  <si>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</si>
  <si>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</si>
  <si>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</si>
  <si>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t>Uppskattat antal per svårhetsgrad</t>
  </si>
  <si>
    <t>Beregnet antall per belastningsgrad</t>
  </si>
  <si>
    <t>numbers_per_fate_label</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</si>
  <si>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</si>
  <si>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</si>
  <si>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</si>
  <si>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</si>
  <si>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</si>
  <si>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Estimated numbers of animals to be reused, to be returned to habitat/husbandry system or to be rehomed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</si>
  <si>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</si>
  <si>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</si>
  <si>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</si>
  <si>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</si>
  <si>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</si>
  <si>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</si>
  <si>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</si>
  <si>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</si>
  <si>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</si>
  <si>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t>Għadd stmat ta’ annimali li għandhom jerġgħu jintużaw, biex jiġu ritornati lejn il-ħabitat/is-sistema ta’ trobbija jew biex jiġu riakkomodati</t>
  </si>
  <si>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</si>
  <si>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</si>
  <si>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rPr>
        <sz val="11"/>
        <rFont val="Calibri"/>
        <family val="2"/>
        <charset val="1"/>
      </rPr>
      <t xml:space="preserve">Número estimado de animais a reutilizar, a devolver ao seu </t>
    </r>
    <r>
      <rPr>
        <i/>
        <sz val="11"/>
        <rFont val="Calibri"/>
        <family val="2"/>
        <charset val="1"/>
      </rPr>
      <t>habitat</t>
    </r>
    <r>
      <rPr>
        <sz val="11"/>
        <rFont val="Calibri"/>
        <family val="2"/>
        <charset val="1"/>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</si>
  <si>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</si>
  <si>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</si>
  <si>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</si>
  <si>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t>Uppskattat antal djur som ska återanvändas, återföras till livsmiljö/djurhållningssystem eller som ska utplaceras</t>
  </si>
  <si>
    <t>Beregnet antall dyr som skal brukes på nytt, sendes tilbake til habitat/husdyrhold eller plasseres i nytt hjem</t>
  </si>
  <si>
    <t>compulsory_field_tinstr</t>
  </si>
  <si>
    <t>Задължително!</t>
  </si>
  <si>
    <t>Povinné!</t>
  </si>
  <si>
    <t>Obligatorisk!</t>
  </si>
  <si>
    <t>Pflichtfeld</t>
  </si>
  <si>
    <t>Υποχρεωτικά!</t>
  </si>
  <si>
    <t>Compulsory!</t>
  </si>
  <si>
    <t>Obligatorio</t>
  </si>
  <si>
    <t>Kohustuslik!</t>
  </si>
  <si>
    <t>Pakollinen!</t>
  </si>
  <si>
    <t>Obligatoire!</t>
  </si>
  <si>
    <t>Obvezno!</t>
  </si>
  <si>
    <t>Kötelezően kitöltendő!</t>
  </si>
  <si>
    <t>Campo obbligatorio</t>
  </si>
  <si>
    <t>Privaloma!</t>
  </si>
  <si>
    <t>Obligāti!</t>
  </si>
  <si>
    <t>Obbligatorju</t>
  </si>
  <si>
    <t>Verplicht!</t>
  </si>
  <si>
    <t>Obowiązkowe!</t>
  </si>
  <si>
    <t>Obrigatório.</t>
  </si>
  <si>
    <t>Obligatoriu!</t>
  </si>
  <si>
    <t>Povinné.</t>
  </si>
  <si>
    <t>Obligatoriskt!</t>
  </si>
  <si>
    <t>Må fylles ut!</t>
  </si>
  <si>
    <t>compulsory_field_for_some_tinstr</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</si>
  <si>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</si>
  <si>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</si>
  <si>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</si>
  <si>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</si>
  <si>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</si>
  <si>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Applicable to those MS where this information is required by the legislation.</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</si>
  <si>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</si>
  <si>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</si>
  <si>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</si>
  <si>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</si>
  <si>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</si>
  <si>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</si>
  <si>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</si>
  <si>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</si>
  <si>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</si>
  <si>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t>Aplikabbli għal dawk l-Istati Membri fejn din l-informazzjoni hija meħtieġa mil-leġiżlazzjoni.</t>
  </si>
  <si>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</si>
  <si>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</si>
  <si>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</si>
  <si>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</si>
  <si>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</si>
  <si>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</si>
  <si>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t>Tillämpligt för de medlemsstater där denna information krävs enligt lagstiftningen.</t>
  </si>
  <si>
    <t>Gjelder for medlemsstater der disse opplysningene er lovpålagt.</t>
  </si>
  <si>
    <t>maxLength_100_tinstr</t>
  </si>
  <si>
    <t>Максимална дължина 100 символа.</t>
  </si>
  <si>
    <t>Maximální délka je 100 znaků.</t>
  </si>
  <si>
    <t>Den maksimale længde er 100 tegn.</t>
  </si>
  <si>
    <t>Maximale Länge 100 Zeichen.</t>
  </si>
  <si>
    <t>Το μέγιστο μήκος είναι 100 χαρακτήρες</t>
  </si>
  <si>
    <t>Maximum length is 100 characters.</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</si>
  <si>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</si>
  <si>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</si>
  <si>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</si>
  <si>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</si>
  <si>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</si>
  <si>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</si>
  <si>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</si>
  <si>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</si>
  <si>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</si>
  <si>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t>It-tul massimu huwa 100 karattru</t>
  </si>
  <si>
    <t>Maximale lengte is 100 tekens</t>
  </si>
  <si>
    <t>Maksymalna długość wynosi 100 znaków.</t>
  </si>
  <si>
    <t>Comprimento máximo é de 100 carateres.</t>
  </si>
  <si>
    <t>Lungimea maximă este de 100 caractere.</t>
  </si>
  <si>
    <t>Maximálna dĺžka je 100 znakov.</t>
  </si>
  <si>
    <t>Največje dovoljeno število znakov: 100.</t>
  </si>
  <si>
    <t>Högst 100 tecken.</t>
  </si>
  <si>
    <t>Tillatt tekstlengde er høyst 100 tegn.</t>
  </si>
  <si>
    <t>projectDuration_instr</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</si>
  <si>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</si>
  <si>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</si>
  <si>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</si>
  <si>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</si>
  <si>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</si>
  <si>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Project duration expressed in months.</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</si>
  <si>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</si>
  <si>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</si>
  <si>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</si>
  <si>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</si>
  <si>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</si>
  <si>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</si>
  <si>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</si>
  <si>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</si>
  <si>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</si>
  <si>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t>It-tul ta’ żmien tal-proġett espress f’xhur.</t>
  </si>
  <si>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</si>
  <si>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</si>
  <si>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</si>
  <si>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</si>
  <si>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</si>
  <si>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</si>
  <si>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t>Projektets varaktighet i månader.</t>
  </si>
  <si>
    <t>Prosjektvarighet i måneder.</t>
  </si>
  <si>
    <t>projectDuration_tinstr</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</si>
  <si>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</si>
  <si>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</si>
  <si>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</si>
  <si>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</si>
  <si>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</si>
  <si>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Must be a whole number between 1 and 60!</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</si>
  <si>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</si>
  <si>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</si>
  <si>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</si>
  <si>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</si>
  <si>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</si>
  <si>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</si>
  <si>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</si>
  <si>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</si>
  <si>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</si>
  <si>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t>Irid tkun numru sħiħ bejn 1 u 60!</t>
  </si>
  <si>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</si>
  <si>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</si>
  <si>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</si>
  <si>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</si>
  <si>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</si>
  <si>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</si>
  <si>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t>Måste vara ett heltal mellan 1 och 60!</t>
  </si>
  <si>
    <t>Oppgi et helt tall mellom 1 og 60</t>
  </si>
  <si>
    <t>maxLength_50_tinstr</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</si>
  <si>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</si>
  <si>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</si>
  <si>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</si>
  <si>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</si>
  <si>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</si>
  <si>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Maximum length is 50 characters including spaces.</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</si>
  <si>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</si>
  <si>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</si>
  <si>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</si>
  <si>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</si>
  <si>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</si>
  <si>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</si>
  <si>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</si>
  <si>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</si>
  <si>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</si>
  <si>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t>It-tul massimu huwa 50 karattru inklużi l-ispazji.</t>
  </si>
  <si>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</si>
  <si>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</si>
  <si>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</si>
  <si>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</si>
  <si>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</si>
  <si>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</si>
  <si>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t>Högst 50 tecken inklusive mellanslag.</t>
  </si>
  <si>
    <t>Tillatt tekstlengde er høyst 50 tegn med mellomrom.</t>
  </si>
  <si>
    <t>maxLength_2500_tinstr</t>
  </si>
  <si>
    <t>Максимална дължина 2500 символа.</t>
  </si>
  <si>
    <t>Maximální délka je 2 500 znaků.</t>
  </si>
  <si>
    <t>Højst 2 500 tegn.</t>
  </si>
  <si>
    <t>Maximale Länge 2500 Zeichen.</t>
  </si>
  <si>
    <t>Το μέγιστο μήκος είναι 2 500 χαρακτήρες</t>
  </si>
  <si>
    <t>Maximum length is 2500 characters.</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</si>
  <si>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</si>
  <si>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</si>
  <si>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</si>
  <si>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</si>
  <si>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</si>
  <si>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</si>
  <si>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</si>
  <si>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</si>
  <si>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</si>
  <si>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t>It-tul massimu huwa 2500 karattru.</t>
  </si>
  <si>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</si>
  <si>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</si>
  <si>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</si>
  <si>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</si>
  <si>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</si>
  <si>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</si>
  <si>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t>Högst 2 500 tecken.</t>
  </si>
  <si>
    <t>Tillatt tekstlengde er høyst 2 500 tegn.</t>
  </si>
  <si>
    <t>maxLength_500_tinstr</t>
  </si>
  <si>
    <t>Максимална дължина 500 символа.</t>
  </si>
  <si>
    <t>Maximální délka je 500 znaků.</t>
  </si>
  <si>
    <t>Højst 500 tegn.</t>
  </si>
  <si>
    <t>Maximale Länge 500 Zeichen.</t>
  </si>
  <si>
    <t>Το μέγιστο μήκος είναι 500 χαρακτήρες</t>
  </si>
  <si>
    <t>Maximum length is 500 characters.</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</si>
  <si>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</si>
  <si>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</si>
  <si>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</si>
  <si>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</si>
  <si>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</si>
  <si>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</si>
  <si>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</si>
  <si>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</si>
  <si>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</si>
  <si>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t>It-tul massimu huwa 500 karattru.</t>
  </si>
  <si>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</si>
  <si>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</si>
  <si>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</si>
  <si>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</si>
  <si>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</si>
  <si>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</si>
  <si>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t>Högst 500 tecken.</t>
  </si>
  <si>
    <t>Tillatt tekstlengde er høyst 500 tegn.</t>
  </si>
  <si>
    <t>ntsNationalId_instr</t>
  </si>
  <si>
    <t>Национален идентификатор на НТО.</t>
  </si>
  <si>
    <t>LB nationale identifikator.</t>
  </si>
  <si>
    <t>Εθνικός αναγνωριστικός κωδικός του NTS.</t>
  </si>
  <si>
    <t>National identifier of the NTS.</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</si>
  <si>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</si>
  <si>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</si>
  <si>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</si>
  <si>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</si>
  <si>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</si>
  <si>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</si>
  <si>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</si>
  <si>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</si>
  <si>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t>Identifikatur nazzjonali tal-NTS.</t>
  </si>
  <si>
    <t>Krajowy identyfikator SND.</t>
  </si>
  <si>
    <t>Código de identificação nacional do RNT.</t>
  </si>
  <si>
    <t>Identificatorul național al RNT.</t>
  </si>
  <si>
    <t>Národný identifikátor NZP.</t>
  </si>
  <si>
    <t>Nacionalna identifikacijska oznaka NTP.</t>
  </si>
  <si>
    <t>Nationell identifierare för PVS.</t>
  </si>
  <si>
    <t>expectedHarms_tinstr</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</si>
  <si>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</si>
  <si>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</si>
  <si>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</si>
  <si>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</si>
  <si>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</si>
  <si>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Please fill-in 'Expected harms' sheet. At least one row must be filled-in!</t>
  </si>
  <si>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</si>
  <si>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</si>
  <si>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</si>
  <si>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</si>
  <si>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</si>
  <si>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</si>
  <si>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</si>
  <si>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</si>
  <si>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</si>
  <si>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t>Jekk jogħġbok imla l-folja “Ħsara mistennija”. Trid timtela mill-inqas ringiela waħda!</t>
  </si>
  <si>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</si>
  <si>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</si>
  <si>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</si>
  <si>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</si>
  <si>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</si>
  <si>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</si>
  <si>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t>Fyll i bladet ”Förväntade skador”. Minst en rad måste fyllas i!</t>
  </si>
  <si>
    <t>Fyll ut arket «forventede skader». Fyll ut minst én rad!</t>
  </si>
  <si>
    <t>fateList_tinstr</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</si>
  <si>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</si>
  <si>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</si>
  <si>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</si>
  <si>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</si>
  <si>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</si>
  <si>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 xml:space="preserve">Please fill-in 'Fate of animals kept alive' sheet if applicable. </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</si>
  <si>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</si>
  <si>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</si>
  <si>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</si>
  <si>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</si>
  <si>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</si>
  <si>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</si>
  <si>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</si>
  <si>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</si>
  <si>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</si>
  <si>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t xml:space="preserve">Jekk jogħġbok imla l-folja “Id-destin tal-annimali miżmuma ħajjin” jekk applikabbli. </t>
  </si>
  <si>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</si>
  <si>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</si>
  <si>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</si>
  <si>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</si>
  <si>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</si>
  <si>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</si>
  <si>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t xml:space="preserve">Fyll i bladet ”Planer för djur som hålls vid liv” om tillämpligt. </t>
  </si>
  <si>
    <t xml:space="preserve">Fyll eventuelt ut arket «Hva vil skje med dyr som holdes i live». </t>
  </si>
  <si>
    <t>date_format_tinstr</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</si>
  <si>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</si>
  <si>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</si>
  <si>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</si>
  <si>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</si>
  <si>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</si>
  <si>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Format is dd-mm-yyyy or dd/mm/yyyy depending on your system settings (e.g. 27-05-2022 or 27/05/2022)</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</si>
  <si>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</si>
  <si>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</si>
  <si>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</si>
  <si>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</si>
  <si>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</si>
  <si>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</si>
  <si>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</si>
  <si>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</si>
  <si>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</si>
  <si>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t>Il-format huwa jj-xx-ssss jew jj/xx/ssss skont is-settings tas-sistema tiegħek (eż. 27–05–2022 jew 27/05/2022)</t>
  </si>
  <si>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</si>
  <si>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</si>
  <si>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</si>
  <si>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</si>
  <si>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</si>
  <si>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</si>
  <si>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t>Formatet är dd-mm-åååå eller dd/mm/åååå beroende på dina systeminställningar (t.ex. 27-05-2022 eller 27/05/2022)</t>
  </si>
  <si>
    <t>Formatet er dd-mm-åååå eller dd/mm/åååå, avhengig av dine innstillinger (eksempel: 27-05-2022 eller 27/05/2022).</t>
  </si>
  <si>
    <t>additional_fields_title</t>
  </si>
  <si>
    <t>Допълнителни полета</t>
  </si>
  <si>
    <t>Dodatečná pole</t>
  </si>
  <si>
    <t>Supplerende felter</t>
  </si>
  <si>
    <t>Zusätzliche Felder</t>
  </si>
  <si>
    <t>Πρόσθετα πεδία</t>
  </si>
  <si>
    <t>Additional fields</t>
  </si>
  <si>
    <t>Campos adicionales</t>
  </si>
  <si>
    <t>Lisaväljad</t>
  </si>
  <si>
    <t>Lisäkentät</t>
  </si>
  <si>
    <t>Champs supplémentaires</t>
  </si>
  <si>
    <t>Dodatna polja</t>
  </si>
  <si>
    <t>További mezők</t>
  </si>
  <si>
    <t>Campi supplementari</t>
  </si>
  <si>
    <t>Papildomi laukai</t>
  </si>
  <si>
    <t>Papildu lauki</t>
  </si>
  <si>
    <t>Oqsma addizzjonali</t>
  </si>
  <si>
    <t>Aanvullende velden</t>
  </si>
  <si>
    <t>Dodatkowe pola</t>
  </si>
  <si>
    <t>Campos adicionais</t>
  </si>
  <si>
    <t>Câmpuri suplimentare</t>
  </si>
  <si>
    <t>Dodatočné polia</t>
  </si>
  <si>
    <t>Kompletterande fält</t>
  </si>
  <si>
    <t>Nye felt</t>
  </si>
  <si>
    <t>additional_fields_tinstr</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</si>
  <si>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</si>
  <si>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</si>
  <si>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</si>
  <si>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</si>
  <si>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</si>
  <si>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Whether the particular field is applicable or not, depends on national rules.</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</si>
  <si>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</si>
  <si>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</si>
  <si>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</si>
  <si>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</si>
  <si>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</si>
  <si>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</si>
  <si>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</si>
  <si>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</si>
  <si>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</si>
  <si>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t>Jekk il-qasam partikolari huwiex applikabbli jew le, jiddependi mir-regoli nazzjonali.</t>
  </si>
  <si>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</si>
  <si>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</si>
  <si>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</si>
  <si>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</si>
  <si>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</si>
  <si>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</si>
  <si>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t>Nationella regler avgör om ett visst fält ska fyllas i eller inte.</t>
  </si>
  <si>
    <t>Hvorvidt feltet er relevant avhenger av nasjonale regler.</t>
  </si>
  <si>
    <t>projectStartDate_label</t>
  </si>
  <si>
    <t>Начална дата на проекта</t>
  </si>
  <si>
    <t>Datum zahájení projektu</t>
  </si>
  <si>
    <t>Projektets startdato</t>
  </si>
  <si>
    <t>Projektbeginn</t>
  </si>
  <si>
    <t>Ημερομηνία έναρξης έργου</t>
  </si>
  <si>
    <t>Project start date</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</si>
  <si>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</si>
  <si>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</si>
  <si>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</si>
  <si>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</si>
  <si>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</si>
  <si>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</si>
  <si>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</si>
  <si>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</si>
  <si>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</si>
  <si>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t>Data tal-bidu tal-proġett</t>
  </si>
  <si>
    <t>Startdatum project</t>
  </si>
  <si>
    <t>Data rozpoczęcia projektu</t>
  </si>
  <si>
    <t>Data de início do projeto</t>
  </si>
  <si>
    <t>Data începerii proiectului</t>
  </si>
  <si>
    <t>Dátum začatia projektu</t>
  </si>
  <si>
    <t>Datum začetka projekta</t>
  </si>
  <si>
    <t>Projektets startdatum</t>
  </si>
  <si>
    <t>Startdato for prosjektet</t>
  </si>
  <si>
    <t>projectEndDate_label</t>
  </si>
  <si>
    <t>Крайна дата на проекта</t>
  </si>
  <si>
    <t>Datum ukončení projektu</t>
  </si>
  <si>
    <t>Projektets slutdato</t>
  </si>
  <si>
    <t>Projektende</t>
  </si>
  <si>
    <t>Ημερομηνία λήξης του έργου</t>
  </si>
  <si>
    <t>Project end date</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</si>
  <si>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</si>
  <si>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</si>
  <si>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</si>
  <si>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</si>
  <si>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</si>
  <si>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</si>
  <si>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</si>
  <si>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</si>
  <si>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</si>
  <si>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t>Data tat-tmiem tal-proġett</t>
  </si>
  <si>
    <t>Einddatum project</t>
  </si>
  <si>
    <t>Data zakończenia projektu</t>
  </si>
  <si>
    <t>Data de conclusão do projeto</t>
  </si>
  <si>
    <t>Data încheierii proiectului</t>
  </si>
  <si>
    <t>Dátum ukončenia projektu</t>
  </si>
  <si>
    <t>Datum konca projekta</t>
  </si>
  <si>
    <t>Projektets slutdatum</t>
  </si>
  <si>
    <t>Sluttdato for prosjektet</t>
  </si>
  <si>
    <t>projectApprovalDate_label</t>
  </si>
  <si>
    <t>Дата на одобрението на проекта</t>
  </si>
  <si>
    <t>Datum schválení projektu</t>
  </si>
  <si>
    <t>Projektets godkendelsesdato</t>
  </si>
  <si>
    <t>Datum der Projektgenehmigung</t>
  </si>
  <si>
    <t>Ημερομηνία έγκρισης έργου</t>
  </si>
  <si>
    <t>Project approval date</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</si>
  <si>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</si>
  <si>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</si>
  <si>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</si>
  <si>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</si>
  <si>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</si>
  <si>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</si>
  <si>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</si>
  <si>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</si>
  <si>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</si>
  <si>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t>Data tal-approvazzjoni tal-proġett</t>
  </si>
  <si>
    <t>Goedkeuringsdatum project</t>
  </si>
  <si>
    <t>Data zatwierdzenia projektu</t>
  </si>
  <si>
    <t>Data de aprovação do projeto</t>
  </si>
  <si>
    <t>Data aprobării proiectului</t>
  </si>
  <si>
    <t>Dátum schválenia projektu</t>
  </si>
  <si>
    <t>Datum odobritve projekta</t>
  </si>
  <si>
    <t>Projektets godkännandedatum</t>
  </si>
  <si>
    <t xml:space="preserve">Prosjektets godkjenningsdato </t>
  </si>
  <si>
    <t>ICD_code_label</t>
  </si>
  <si>
    <t xml:space="preserve">Код по Международната класификация на болестите </t>
  </si>
  <si>
    <t>Kód MKN</t>
  </si>
  <si>
    <t>ICD-kode</t>
  </si>
  <si>
    <t>ICD-Code</t>
  </si>
  <si>
    <t>Κωδικός ICD</t>
  </si>
  <si>
    <t>ICD code</t>
  </si>
  <si>
    <t>Código ICD</t>
  </si>
  <si>
    <t>RHK-kood</t>
  </si>
  <si>
    <t>ICD-tunnus</t>
  </si>
  <si>
    <t>Code CIM</t>
  </si>
  <si>
    <t>Oznaka ICD</t>
  </si>
  <si>
    <t>BNO-kód</t>
  </si>
  <si>
    <t>Codice ICD</t>
  </si>
  <si>
    <t>ICD kodas</t>
  </si>
  <si>
    <t>SSK kods</t>
  </si>
  <si>
    <t>Kodiċi ICD</t>
  </si>
  <si>
    <t>ICD-code</t>
  </si>
  <si>
    <t>Kod ICD</t>
  </si>
  <si>
    <t>Código CID</t>
  </si>
  <si>
    <t>Cod ICD</t>
  </si>
  <si>
    <t>Kód ICD</t>
  </si>
  <si>
    <t>Koda MKB</t>
  </si>
  <si>
    <t>ICD-kod</t>
  </si>
  <si>
    <t>field1_label</t>
  </si>
  <si>
    <t>Национално поле 1</t>
  </si>
  <si>
    <t>Vnitrostátní pole 1</t>
  </si>
  <si>
    <t>Nationalt felt 1</t>
  </si>
  <si>
    <t>Nationales Feld 1</t>
  </si>
  <si>
    <t>Εθνικό πεδίο 1</t>
  </si>
  <si>
    <t>National field 1</t>
  </si>
  <si>
    <t>Campo nacional 1</t>
  </si>
  <si>
    <t>Riiklik väli 1</t>
  </si>
  <si>
    <t>Kansallinen kenttä 1</t>
  </si>
  <si>
    <t>Champ national 1</t>
  </si>
  <si>
    <t>Nacionalno polje 1</t>
  </si>
  <si>
    <t>1. nemzeti mező</t>
  </si>
  <si>
    <t>Campo nazionale 1</t>
  </si>
  <si>
    <t>1 nacionalinis laukelis</t>
  </si>
  <si>
    <t>1. valsts lauks</t>
  </si>
  <si>
    <t>Qasam nazzjonali 1</t>
  </si>
  <si>
    <t>Nationaal veld 1</t>
  </si>
  <si>
    <t>Pole krajowe 1</t>
  </si>
  <si>
    <t>Câmpul național 1</t>
  </si>
  <si>
    <t>Vnútroštátne pole 1</t>
  </si>
  <si>
    <t>Nationellt fält 1</t>
  </si>
  <si>
    <t>Nasjonalt felt 1</t>
  </si>
  <si>
    <t>field2_label</t>
  </si>
  <si>
    <t>Национално поле 2</t>
  </si>
  <si>
    <t>Vnitrostátní pole 2</t>
  </si>
  <si>
    <t>Nationalt felt 2</t>
  </si>
  <si>
    <t>Nationales Feld 2</t>
  </si>
  <si>
    <t>Εθνικό πεδίο 2</t>
  </si>
  <si>
    <t>National field 2</t>
  </si>
  <si>
    <t>Campo nacional 2</t>
  </si>
  <si>
    <t>Riiklik väli 2</t>
  </si>
  <si>
    <t>Kansallinen kenttä 2</t>
  </si>
  <si>
    <t>Champ national 2</t>
  </si>
  <si>
    <t>Nacionalno polje 2</t>
  </si>
  <si>
    <t>2. nemzeti mező</t>
  </si>
  <si>
    <t>Campo nazionale 2</t>
  </si>
  <si>
    <t>2 nacionalinis laukelis</t>
  </si>
  <si>
    <t>2. valsts lauks</t>
  </si>
  <si>
    <t>Qasam nazzjonali 2</t>
  </si>
  <si>
    <t>Nationaal veld 2</t>
  </si>
  <si>
    <t>Pole krajowe 2</t>
  </si>
  <si>
    <t>Câmpul național 2</t>
  </si>
  <si>
    <t>Vnútroštátne pole 2</t>
  </si>
  <si>
    <t>Nationellt fält 2</t>
  </si>
  <si>
    <t>Nasjonalt felt 2</t>
  </si>
  <si>
    <t>field3_label</t>
  </si>
  <si>
    <t>Национално поле 3</t>
  </si>
  <si>
    <t>Vnitrostátní pole 3</t>
  </si>
  <si>
    <t>Nationalt felt 3</t>
  </si>
  <si>
    <t>Nationales Feld 3</t>
  </si>
  <si>
    <t>Εθνικό πεδίο 3</t>
  </si>
  <si>
    <t>National field 3</t>
  </si>
  <si>
    <t>Campo nacional 3</t>
  </si>
  <si>
    <t>Riiklik väli 3</t>
  </si>
  <si>
    <t>Kansallinen kenttä 3</t>
  </si>
  <si>
    <t>Champ national 3</t>
  </si>
  <si>
    <t>Nacionalno polje 3</t>
  </si>
  <si>
    <t>3. nemzeti mező</t>
  </si>
  <si>
    <t>Campo nazionale 3</t>
  </si>
  <si>
    <t>3 nacionalinis laukelis</t>
  </si>
  <si>
    <t>3. valsts lauks</t>
  </si>
  <si>
    <t>Qasam nazzjonali 3</t>
  </si>
  <si>
    <t>Nationaal veld 3</t>
  </si>
  <si>
    <t>Pole krajowe 3</t>
  </si>
  <si>
    <t>Câmpul național 3</t>
  </si>
  <si>
    <t>Vnútroštátne pole 3</t>
  </si>
  <si>
    <t>Nationellt fält 3</t>
  </si>
  <si>
    <t>Nasjonalt felt 3</t>
  </si>
  <si>
    <t>field4_label</t>
  </si>
  <si>
    <t>Национално поле 4</t>
  </si>
  <si>
    <t>Vnitrostátní pole 4</t>
  </si>
  <si>
    <t>Nationalt felt 4</t>
  </si>
  <si>
    <t>Nationales Feld 4</t>
  </si>
  <si>
    <t>Εθνικό πεδίο 4</t>
  </si>
  <si>
    <t>National field 4</t>
  </si>
  <si>
    <t>Campo nacional 4</t>
  </si>
  <si>
    <t>Riiklik väli 4</t>
  </si>
  <si>
    <t>Kansallinen kenttä 4</t>
  </si>
  <si>
    <t>Champ national 4</t>
  </si>
  <si>
    <t>Nacionalno polje 4</t>
  </si>
  <si>
    <t>4. nemzeti mező</t>
  </si>
  <si>
    <t>Campo nazionale 4</t>
  </si>
  <si>
    <t>4 nacionalinis laukelis</t>
  </si>
  <si>
    <t>4. valsts lauks</t>
  </si>
  <si>
    <t>Qasam nazzjonali 4</t>
  </si>
  <si>
    <t>Nationaal veld 4</t>
  </si>
  <si>
    <t>Pole krajowe 4</t>
  </si>
  <si>
    <t>Câmpul național 4</t>
  </si>
  <si>
    <t>Vnútroštátne pole 4</t>
  </si>
  <si>
    <t>Nationellt fält 4</t>
  </si>
  <si>
    <t>Nasjonalt felt 4</t>
  </si>
  <si>
    <t>field5_label</t>
  </si>
  <si>
    <t>Национално поле 5</t>
  </si>
  <si>
    <t>Vnitrostátní pole 5</t>
  </si>
  <si>
    <t>Nationalt felt 5</t>
  </si>
  <si>
    <t>Nationales Feld 5</t>
  </si>
  <si>
    <t>Εθνικό πεδίο 5</t>
  </si>
  <si>
    <t>National field 5</t>
  </si>
  <si>
    <t>Campo nacional 5</t>
  </si>
  <si>
    <t>Riiklik väli 5</t>
  </si>
  <si>
    <t>Kansallinen kenttä 5</t>
  </si>
  <si>
    <t>Champ national 5</t>
  </si>
  <si>
    <t>Nacionalno polje 5</t>
  </si>
  <si>
    <t>5. nemzeti mező</t>
  </si>
  <si>
    <t>Campo nazionale 5</t>
  </si>
  <si>
    <t>5 nacionalinis laukelis</t>
  </si>
  <si>
    <t>5. valsts lauks</t>
  </si>
  <si>
    <t>Qasam nazzjonali 5</t>
  </si>
  <si>
    <t>Nationaal veld 5</t>
  </si>
  <si>
    <t>Pole krajowe 5</t>
  </si>
  <si>
    <t>Câmpul național 5</t>
  </si>
  <si>
    <t>Vnútroštátne pole 5</t>
  </si>
  <si>
    <t>Nationellt fält 5</t>
  </si>
  <si>
    <t>Nasjonalt felt 5</t>
  </si>
  <si>
    <t>projectPurposes_tinstr</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</si>
  <si>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</si>
  <si>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</si>
  <si>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</si>
  <si>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</si>
  <si>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</si>
  <si>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Please fill-in 'Purpose of the project' sheet.</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</si>
  <si>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</si>
  <si>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</si>
  <si>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</si>
  <si>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</si>
  <si>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</si>
  <si>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</si>
  <si>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</si>
  <si>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</si>
  <si>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</si>
  <si>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t>Imla l-folja “Skop tal-proġett”.</t>
  </si>
  <si>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</si>
  <si>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</si>
  <si>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</si>
  <si>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</si>
  <si>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</si>
  <si>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</si>
  <si>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t>Fyll i bladet ”Projektets syfte”.</t>
  </si>
  <si>
    <t>Fyll ut arket «formålet med prosjektet».</t>
  </si>
  <si>
    <t>duration_unit_label</t>
  </si>
  <si>
    <t>(в месеци)</t>
  </si>
  <si>
    <t>(v měsících)</t>
  </si>
  <si>
    <t>(i måneder)</t>
  </si>
  <si>
    <t>(in Monaten)</t>
  </si>
  <si>
    <t>(σε μήνες)</t>
  </si>
  <si>
    <t>(in months)</t>
  </si>
  <si>
    <t>(en meses)</t>
  </si>
  <si>
    <t>(kuudes)</t>
  </si>
  <si>
    <t>(kuukausina)</t>
  </si>
  <si>
    <t>(en mois)</t>
  </si>
  <si>
    <t>(u mjesecima)</t>
  </si>
  <si>
    <t>(hónapokban)</t>
  </si>
  <si>
    <t>(in mesi)</t>
  </si>
  <si>
    <t>(mėnesiais)</t>
  </si>
  <si>
    <t>(mēnešos)</t>
  </si>
  <si>
    <t>(f’xhur)</t>
  </si>
  <si>
    <t>(in maanden)</t>
  </si>
  <si>
    <t>(w miesiącach)</t>
  </si>
  <si>
    <t>(em meses)</t>
  </si>
  <si>
    <t>(în luni)</t>
  </si>
  <si>
    <t>(v mesiacoch)</t>
  </si>
  <si>
    <t>(v mesecih)</t>
  </si>
  <si>
    <t>(antal månader)</t>
  </si>
  <si>
    <t>keyword_tinstr</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</si>
  <si>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</si>
  <si>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</si>
  <si>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</si>
  <si>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</si>
  <si>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</si>
  <si>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May consist of more than one word.</t>
  </si>
  <si>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</si>
  <si>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</si>
  <si>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</si>
  <si>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</si>
  <si>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</si>
  <si>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</si>
  <si>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</si>
  <si>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</si>
  <si>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</si>
  <si>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t>Jistgħu jikkonsistu f’aktar minn kelma waħda.</t>
  </si>
  <si>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</si>
  <si>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</si>
  <si>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</si>
  <si>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</si>
  <si>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</si>
  <si>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</si>
  <si>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t>Kan bestå av mer än ett ord.</t>
  </si>
  <si>
    <t>Kan bestå av mer enn ett ord.</t>
  </si>
  <si>
    <t>fill_all_cells_mssg</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</si>
  <si>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</si>
  <si>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</si>
  <si>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</si>
  <si>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</si>
  <si>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</si>
  <si>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Please fill-in all categories with whole numbers (0 or higher)!</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</si>
  <si>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</si>
  <si>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</si>
  <si>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</si>
  <si>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</si>
  <si>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</si>
  <si>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</si>
  <si>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</si>
  <si>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</si>
  <si>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</si>
  <si>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t>Jekk jogħġbok imla l-kategoriji kollha b’numri sħaħ (0 jew ogħla)!</t>
  </si>
  <si>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</si>
  <si>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</si>
  <si>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</si>
  <si>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</si>
  <si>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</si>
  <si>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</si>
  <si>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t>Fyll i alla kategorier med heltal (0 eller högre)!</t>
  </si>
  <si>
    <t>Fyll ut alle kategoriene med hele tall (0 eller høyere)</t>
  </si>
  <si>
    <t>euSubmission_instr</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</si>
  <si>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</si>
  <si>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</si>
  <si>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</si>
  <si>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</si>
  <si>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</si>
  <si>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Indicate if project is falling inside the scope of the Directive or not.</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</si>
  <si>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</si>
  <si>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</si>
  <si>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</si>
  <si>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</si>
  <si>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</si>
  <si>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</si>
  <si>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</si>
  <si>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</si>
  <si>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</si>
  <si>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t>Indika jekk il-proġett jaqax fil-kamp ta’ applikazzjoni tad-Direttiva jew le.</t>
  </si>
  <si>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</si>
  <si>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</si>
  <si>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</si>
  <si>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</si>
  <si>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</si>
  <si>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</si>
  <si>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t>Ange om projektet omfattas av direktivets tillämpningsområde eller inte.</t>
  </si>
  <si>
    <t>Angi hvorvidt prosjektet omfattes av direktivets virkeområde.</t>
  </si>
  <si>
    <t>ICD_code_instr</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</si>
  <si>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</si>
  <si>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</si>
  <si>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</si>
  <si>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</si>
  <si>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</si>
  <si>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International Classification of Diseases (ICD) code.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</si>
  <si>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</si>
  <si>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</si>
  <si>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</si>
  <si>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</si>
  <si>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</si>
  <si>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</si>
  <si>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</si>
  <si>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</si>
  <si>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</si>
  <si>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t>Kodiċi tal-Klassifikazzjoni Internazzjonali tal-Mard (ICD).</t>
  </si>
  <si>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</si>
  <si>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</si>
  <si>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</si>
  <si>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</si>
  <si>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</si>
  <si>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</si>
  <si>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t>Den internationella sjukdomsklassifikationen (ICD-kod).</t>
  </si>
  <si>
    <t>Internasjonal kode for klassifisering av sykdommer (ICD-kode).</t>
  </si>
  <si>
    <t>ICD_code_tinstr</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</si>
  <si>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</si>
  <si>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</si>
  <si>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</si>
  <si>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</si>
  <si>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</si>
  <si>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Up to a precision of a 4 character code.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</si>
  <si>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</si>
  <si>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</si>
  <si>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</si>
  <si>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</si>
  <si>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</si>
  <si>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</si>
  <si>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</si>
  <si>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</si>
  <si>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</si>
  <si>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t>Sa preċiżjoni ta’ kodiċi ta’ 4 karattri.</t>
  </si>
  <si>
    <t>Tot een nauwkeurigheid van een code van 4 tekens.</t>
  </si>
  <si>
    <t>Z dokładnością do 4 znaków kodu.</t>
  </si>
  <si>
    <t>Código com até 4 carateres.</t>
  </si>
  <si>
    <t>Precizie: cod până la 4 caractere.</t>
  </si>
  <si>
    <t>Presnosť až do úrovne 4-miestneho kódu.</t>
  </si>
  <si>
    <t>Do natančnosti 4-mestne kode.</t>
  </si>
  <si>
    <t>Kod med en noggrannhet på upp till fyra tecken.</t>
  </si>
  <si>
    <t>Oppgi en kode med inntil 4 tegn.</t>
  </si>
  <si>
    <t>ntsPreviousVersionExternalLink_label</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</si>
  <si>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</si>
  <si>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</si>
  <si>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</si>
  <si>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</si>
  <si>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</si>
  <si>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Link to the previous NTS version outside the EC system</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</si>
  <si>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</si>
  <si>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</si>
  <si>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</si>
  <si>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</si>
  <si>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</si>
  <si>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</si>
  <si>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</si>
  <si>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</si>
  <si>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</si>
  <si>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t>Link għall-verżjoni preċedenti tal-NTS barra mis-sistema tal-KE</t>
  </si>
  <si>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</si>
  <si>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</si>
  <si>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</si>
  <si>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</si>
  <si>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</si>
  <si>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</si>
  <si>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t>Länk till tidigare version av PVS som inte finns i EU-kommissionens system</t>
  </si>
  <si>
    <t>Lenke til forrige versjon av forsøkssammendraget (utenfor EF-systemet)</t>
  </si>
  <si>
    <t>ntsPreviousVersionExternalLink_instr</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</si>
  <si>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</si>
  <si>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</si>
  <si>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</si>
  <si>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</si>
  <si>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</si>
  <si>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To be used in transition period where the previous version of the NTS might not exist in the EC system.</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</si>
  <si>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</si>
  <si>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</si>
  <si>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</si>
  <si>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</si>
  <si>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</si>
  <si>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</si>
  <si>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</si>
  <si>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</si>
  <si>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</si>
  <si>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t>Għandu jintuża f’perjodu ta’ tranżizzjoni fejn il-verżjoni preċedenti tal-NTS tista’ ma teżistix fis-sistema tal-KE.</t>
  </si>
  <si>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</si>
  <si>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</si>
  <si>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</si>
  <si>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</si>
  <si>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</si>
  <si>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</si>
  <si>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t>Används under en övergångsperiod då den tidigare versionen av PVS ännu inte finns i EU-kommissionens system.</t>
  </si>
  <si>
    <t>Skal brukes i en overgangsperiode dersom den tidligere versjonen ikke finnes i EF-systemet.</t>
  </si>
  <si>
    <t>ntsId_label</t>
  </si>
  <si>
    <t>Идентификатор на НТО</t>
  </si>
  <si>
    <t>Identifikátor NSPP</t>
  </si>
  <si>
    <t>LB identifikator</t>
  </si>
  <si>
    <t>Kennung der NTP</t>
  </si>
  <si>
    <t>Αναγνωριστικός κωδικός NTS</t>
  </si>
  <si>
    <t>NTS identifier</t>
  </si>
  <si>
    <t>Identificador RNT</t>
  </si>
  <si>
    <t>MTK tunnus</t>
  </si>
  <si>
    <t>YTT tunniste</t>
  </si>
  <si>
    <t>Identifiant du RNT</t>
  </si>
  <si>
    <t>Identifikacijska oznaka NTS-a</t>
  </si>
  <si>
    <t>A nem szakmai projekt-összefoglaló azonosítója</t>
  </si>
  <si>
    <t>Identificativo SNT</t>
  </si>
  <si>
    <t>NPS identifikatorius</t>
  </si>
  <si>
    <t>NK identifikators</t>
  </si>
  <si>
    <t>Identifikatur tal-NTS</t>
  </si>
  <si>
    <t>NTS-identificatiecode</t>
  </si>
  <si>
    <t>Identyfikator SND</t>
  </si>
  <si>
    <t>Código de identificação do RNT</t>
  </si>
  <si>
    <t>Identificatorul RNT</t>
  </si>
  <si>
    <t>Identifikátor NZP</t>
  </si>
  <si>
    <t>Identifikacijska oznaka NTP</t>
  </si>
  <si>
    <t>Identifierare för PVS</t>
  </si>
  <si>
    <t>Referanse for forsøkssammendraget</t>
  </si>
  <si>
    <t>ntsId_instr</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</si>
  <si>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</si>
  <si>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</si>
  <si>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</si>
  <si>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</si>
  <si>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</si>
  <si>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Unique NTS identifier assigned by the central EC system.</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</si>
  <si>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</si>
  <si>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</si>
  <si>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</si>
  <si>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</si>
  <si>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</si>
  <si>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</si>
  <si>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</si>
  <si>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</si>
  <si>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</si>
  <si>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t>Identifikatur uniku tal-NTS assenjat mis-sistema ċentrali tal-KE.</t>
  </si>
  <si>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</si>
  <si>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</si>
  <si>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</si>
  <si>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</si>
  <si>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</si>
  <si>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</si>
  <si>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t>Unik identifierare för PVS som tilldelats av EU-kommissionens centrala system.</t>
  </si>
  <si>
    <t>Unik referanse for forsøkssammendraget tildelt i EF-systemet.</t>
  </si>
  <si>
    <t>ntsId_tinstr</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</si>
  <si>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</si>
  <si>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</si>
  <si>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</si>
  <si>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</si>
  <si>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</si>
  <si>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To be filled-in only when updating NTS already stored in the EC system.</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</si>
  <si>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</si>
  <si>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</si>
  <si>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</si>
  <si>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</si>
  <si>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</si>
  <si>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</si>
  <si>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</si>
  <si>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</si>
  <si>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</si>
  <si>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t>Għandha timtela biss meta jiġu aġġornati l-NTS diġà maħżuna fis-sistema tal-KE.</t>
  </si>
  <si>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</si>
  <si>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</si>
  <si>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</si>
  <si>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</si>
  <si>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</si>
  <si>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</si>
  <si>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t>Fylls i endast vid uppdatering av PVS som redan finns i EU-kommissionens system.</t>
  </si>
  <si>
    <t>Skal fylles ut bare ved ajourføring av forsøkssammendrag som allerede er lagret i EF-systemet.</t>
  </si>
  <si>
    <t>custom_severity_label</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</si>
  <si>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</si>
  <si>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</si>
  <si>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</si>
  <si>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</si>
  <si>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</si>
  <si>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MS custom severity</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</si>
  <si>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</si>
  <si>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</si>
  <si>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</si>
  <si>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</si>
  <si>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</si>
  <si>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</si>
  <si>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</si>
  <si>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</si>
  <si>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</si>
  <si>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t>Severità partikolari tal-Istat Membru</t>
  </si>
  <si>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</si>
  <si>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</si>
  <si>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</si>
  <si>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</si>
  <si>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</si>
  <si>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</si>
  <si>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t>Svårhetsgrad på nationell skala</t>
  </si>
  <si>
    <t>Belastningsgrad i nasjonal skala.</t>
  </si>
  <si>
    <t>not_published_instr</t>
  </si>
  <si>
    <t>Полето няма да бъде публикувано.</t>
  </si>
  <si>
    <t>Pole nebude zveřejněno.</t>
  </si>
  <si>
    <t>Feltet vil ikke blive offentliggjort.</t>
  </si>
  <si>
    <t>Das Feld wird nicht veröffentlicht.</t>
  </si>
  <si>
    <t>Το πεδίο δεν θα δημοσιευθεί.</t>
  </si>
  <si>
    <t>Field will not be published.</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</si>
  <si>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</si>
  <si>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</si>
  <si>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</si>
  <si>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</si>
  <si>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</si>
  <si>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</si>
  <si>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</si>
  <si>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</si>
  <si>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</si>
  <si>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t>Dan il-qasam mhux se jiġi ppubblikat.</t>
  </si>
  <si>
    <t>Veld wordt niet gepubliceerd.</t>
  </si>
  <si>
    <t>Pole nie zostanie opublikowane.</t>
  </si>
  <si>
    <t>Este campo não será publicado.</t>
  </si>
  <si>
    <t>Acest câmp nu va fi publicat.</t>
  </si>
  <si>
    <t>Pole sa nezverejňuje.</t>
  </si>
  <si>
    <t>Polje ne bo objavljeno.</t>
  </si>
  <si>
    <t>Fältet kommer inte att offentliggöras.</t>
  </si>
  <si>
    <t>Dette feltet vil ikke bli offentliggjort.</t>
  </si>
  <si>
    <t>language_or_default</t>
  </si>
  <si>
    <t>choice_mandatory</t>
  </si>
  <si>
    <t>choice_optional</t>
  </si>
  <si>
    <t>template_version</t>
  </si>
  <si>
    <t>selection_for_RA</t>
  </si>
  <si>
    <t>project_start_end_date</t>
  </si>
  <si>
    <t>project_approval_date</t>
  </si>
  <si>
    <t>countries</t>
  </si>
  <si>
    <t>Selection for RA is applicable?</t>
  </si>
  <si>
    <t>Project start/end date applicable?</t>
  </si>
  <si>
    <t>Project approval date?</t>
  </si>
  <si>
    <t>AT</t>
  </si>
  <si>
    <t>BE</t>
  </si>
  <si>
    <t>BG</t>
  </si>
  <si>
    <t>CY</t>
  </si>
  <si>
    <t>CZ</t>
  </si>
  <si>
    <t>DE</t>
  </si>
  <si>
    <t>DK</t>
  </si>
  <si>
    <t>EE</t>
  </si>
  <si>
    <t>EL</t>
  </si>
  <si>
    <t>ES</t>
  </si>
  <si>
    <t>FI</t>
  </si>
  <si>
    <t>FR</t>
  </si>
  <si>
    <t>HR</t>
  </si>
  <si>
    <t>HU</t>
  </si>
  <si>
    <t>IE</t>
  </si>
  <si>
    <t>IT</t>
  </si>
  <si>
    <t>LT</t>
  </si>
  <si>
    <t>LU</t>
  </si>
  <si>
    <t>LV</t>
  </si>
  <si>
    <t>MT</t>
  </si>
  <si>
    <t>NL</t>
  </si>
  <si>
    <t>PL</t>
  </si>
  <si>
    <t>RO</t>
  </si>
  <si>
    <t>SE</t>
  </si>
  <si>
    <t>SI</t>
  </si>
  <si>
    <t>SK</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</si>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</sst>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6" x14ac:knownFonts="1">
    <font>
      <sz val="11"/>
      <color rgb="FF000000"/>
      <name val="Calibri"/>
      <family val="2"/>
      <charset val="1"/>
    </font>
    <font>
      <b/>
      <sz val="11"/>
      <color rgb="FF000000"/>
      <name val="Calibri"/>
      <family val="2"/>
      <charset val="1"/>
    </font>
    <font>
      <i/>
      <sz val="11"/>
      <color rgb="FF7F7F7F"/>
      <name val="Calibri"/>
      <family val="2"/>
      <charset val="1"/>
    </font>
    <font>
      <i/>
      <sz val="11"/>
      <color rgb="FF808080"/>
      <name val="Calibri"/>
      <family val="2"/>
      <charset val="1"/>
    </font>
    <font>
      <sz val="18"/>
      <color rgb="FF44546A"/>
      <name val="Calibri Light"/>
      <family val="2"/>
      <charset val="1"/>
    </font>
    <font>
      <b/>
      <sz val="11"/>
      <color rgb="FF3F3F3F"/>
      <name val="Calibri"/>
      <family val="2"/>
      <charset val="1"/>
    </font>
    <font>
      <sz val="11"/>
      <color rgb="FF3F3F3F"/>
      <name val="Calibri"/>
      <family val="2"/>
      <charset val="1"/>
    </font>
    <font>
      <i/>
      <sz val="11"/>
      <color rgb="FFFF0000"/>
      <name val="Calibri"/>
      <family val="2"/>
      <charset val="1"/>
    </font>
    <font>
      <u/>
      <sz val="11"/>
      <color rgb="FF0563C1"/>
      <name val="Calibri"/>
      <family val="2"/>
      <charset val="1"/>
    </font>
    <font>
      <b/>
      <u/>
      <sz val="11"/>
      <color rgb="FF0563C1"/>
      <name val="Calibri"/>
      <family val="2"/>
      <charset val="1"/>
    </font>
    <font>
      <b/>
      <sz val="11"/>
      <color rgb="FF44546A"/>
      <name val="Calibri"/>
      <family val="2"/>
      <charset val="1"/>
    </font>
    <font>
      <sz val="11"/>
      <name val="Calibri"/>
      <family val="2"/>
      <charset val="1"/>
    </font>
    <font>
      <i/>
      <sz val="11"/>
      <name val="Calibri"/>
      <family val="2"/>
      <charset val="1"/>
    </font>
    <font>
      <sz val="10"/>
      <color rgb="FF000000"/>
      <name val="Calibri"/>
      <family val="2"/>
      <charset val="1"/>
    </font>
    <font>
      <sz val="10"/>
      <name val="Calibri"/>
      <family val="2"/>
      <charset val="1"/>
    </font>
    <font>
      <sz val="11"/>
      <color rgb="FF000000"/>
      <name val="Calibri"/>
      <family val="2"/>
      <charset val="1"/>
    </font>
  </fonts>
  <fills count="6">
    <fill>
      <patternFill patternType="none"/>
    </fill>
    <fill>
      <patternFill patternType="gray125"/>
    </fill>
    <fill>
      <patternFill patternType="solid">
        <fgColor rgb="FFF2F2F2"/>
        <bgColor rgb="FFFFFFFF"/>
      </patternFill>
    </fill>
    <fill>
      <patternFill patternType="solid">
        <fgColor rgb="FFFBE5D6"/>
        <bgColor rgb="FFF2F2F2"/>
      </patternFill>
    </fill>
    <fill>
      <patternFill patternType="solid">
        <fgColor rgb="FFFFFF00"/>
        <bgColor rgb="FFFFFF00"/>
      </patternFill>
    </fill>
    <fill>
      <patternFill patternType="solid">
        <fgColor rgb="FFFFFFFF"/>
        <bgColor rgb="FFF2F2F2"/>
      </patternFill>
    </fill>
  </fills>
  <borders count="27">
    <border>
      <left/>
      <right/>
      <top/>
      <bottom/>
      <diagonal/>
    </border>
    <border>
      <left style="thin">
        <color rgb="FF3F3F3F"/>
      </left>
      <right style="thin">
        <color rgb="FF3F3F3F"/>
      </right>
      <top style="thin">
        <color rgb="FF3F3F3F"/>
      </top>
      <bottom style="thin">
        <color rgb="FF3F3F3F"/>
      </bottom>
      <diagonal/>
    </border>
    <border>
      <left/>
      <right/>
      <top/>
      <bottom style="medium">
        <color rgb="FF8FAADC"/>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style="hair">
        <color auto="1"/>
      </right>
      <top style="hair">
        <color auto="1"/>
      </top>
      <bottom/>
      <diagonal/>
    </border>
    <border>
      <left/>
      <right/>
      <top/>
      <bottom style="hair">
        <color auto="1"/>
      </bottom>
      <diagonal/>
    </border>
    <border>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7">
    <xf numFmtId="0" fontId="0" fillId="0" borderId="0"/>
    <xf numFmtId="0" fontId="8" fillId="0" borderId="0" applyBorder="0" applyProtection="0"/>
    <xf numFmtId="0" fontId="2" fillId="0" borderId="0" applyBorder="0" applyProtection="0"/>
    <xf numFmtId="0" fontId="4" fillId="0" borderId="0" applyBorder="0" applyProtection="0"/>
    <xf numFmtId="0" fontId="5" fillId="2" borderId="1" applyProtection="0"/>
    <xf numFmtId="0" fontId="15" fillId="3" borderId="0" applyBorder="0" applyProtection="0"/>
    <xf numFmtId="0" fontId="10" fillId="0" borderId="2" applyProtection="0"/>
  </cellStyleXfs>
  <cellXfs count="124">
    <xf numFmtId="0" fontId="0" fillId="0" borderId="0" xfId="0"/>
    <xf numFmtId="0" fontId="0" fillId="0" borderId="0" xfId="0" applyAlignment="1" applyProtection="1">
      <alignment horizontal="left" vertical="top"/>
    </xf>
    <xf numFmtId="0" fontId="0" fillId="0" borderId="0" xfId="0" applyAlignment="1" applyProtection="1">
      <alignment horizontal="left" vertical="top"/>
    </xf>
    <xf numFmtId="0" fontId="1" fillId="0" borderId="0" xfId="0" applyFont="1" applyAlignment="1">
      <alignment horizontal="left" vertical="top"/>
    </xf>
    <xf numFmtId="0" fontId="0" fillId="0" borderId="0" xfId="0" applyAlignment="1" applyProtection="1">
      <alignment horizontal="left" vertical="top" wrapText="1"/>
    </xf>
    <xf numFmtId="0" fontId="0" fillId="0" borderId="0" xfId="0" applyAlignment="1">
      <alignment horizontal="left" vertical="top"/>
    </xf>
    <xf numFmtId="0" fontId="0" fillId="0" borderId="0" xfId="0" applyAlignment="1">
      <alignment horizontal="left" vertical="top"/>
    </xf>
    <xf numFmtId="0" fontId="2" fillId="0" borderId="0" xfId="2" applyBorder="1" applyAlignment="1" applyProtection="1">
      <alignment vertical="top"/>
    </xf>
    <xf numFmtId="0" fontId="0" fillId="0" borderId="0" xfId="0" applyAlignment="1">
      <alignment horizontal="left" vertical="top" wrapText="1"/>
    </xf>
    <xf numFmtId="0" fontId="3" fillId="0" borderId="0" xfId="0" applyFont="1" applyAlignment="1">
      <alignment horizontal="left" vertical="top"/>
    </xf>
    <xf numFmtId="0" fontId="2" fillId="0" borderId="0" xfId="2" applyFont="1" applyBorder="1" applyAlignment="1" applyProtection="1">
      <alignment vertical="top"/>
    </xf>
    <xf numFmtId="0" fontId="3" fillId="0" borderId="0" xfId="2" applyFont="1" applyBorder="1" applyAlignment="1" applyProtection="1">
      <alignment horizontal="left" vertical="top" wrapText="1"/>
    </xf>
    <xf numFmtId="0" fontId="1" fillId="0" borderId="0" xfId="0" applyFont="1" applyAlignment="1" applyProtection="1">
      <alignment horizontal="left" vertical="top"/>
    </xf>
    <xf numFmtId="49" fontId="0" fillId="0" borderId="0" xfId="0" applyNumberFormat="1" applyAlignment="1" applyProtection="1">
      <alignment horizontal="left" vertical="top"/>
    </xf>
    <xf numFmtId="0" fontId="6" fillId="2" borderId="3" xfId="4" applyFont="1" applyBorder="1" applyAlignment="1" applyProtection="1">
      <alignment horizontal="left" vertical="top" wrapText="1" shrinkToFit="1"/>
      <protection locked="0"/>
    </xf>
    <xf numFmtId="0" fontId="7" fillId="0" borderId="0" xfId="2" applyFont="1" applyBorder="1" applyAlignment="1" applyProtection="1">
      <alignment vertical="top"/>
    </xf>
    <xf numFmtId="0" fontId="6" fillId="2" borderId="3" xfId="4" applyFont="1" applyBorder="1" applyAlignment="1" applyProtection="1">
      <alignment horizontal="left" vertical="top" wrapText="1"/>
      <protection locked="0"/>
    </xf>
    <xf numFmtId="49" fontId="6" fillId="2" borderId="3" xfId="4" applyNumberFormat="1" applyFont="1" applyBorder="1" applyAlignment="1" applyProtection="1">
      <alignment horizontal="left" vertical="top" wrapText="1"/>
      <protection locked="0"/>
    </xf>
    <xf numFmtId="0" fontId="1" fillId="0" borderId="5" xfId="0" applyFont="1" applyBorder="1" applyAlignment="1">
      <alignment horizontal="left"/>
    </xf>
    <xf numFmtId="0" fontId="1" fillId="0" borderId="6" xfId="0" applyFont="1" applyBorder="1" applyAlignment="1">
      <alignment horizontal="left"/>
    </xf>
    <xf numFmtId="0" fontId="3" fillId="0" borderId="0" xfId="0" applyFont="1" applyAlignment="1">
      <alignment horizontal="left" vertical="top" wrapText="1"/>
    </xf>
    <xf numFmtId="49" fontId="0" fillId="0" borderId="0" xfId="0" applyNumberFormat="1" applyAlignment="1" applyProtection="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indent="3"/>
    </xf>
    <xf numFmtId="0" fontId="1" fillId="0" borderId="0" xfId="0" applyFont="1" applyBorder="1" applyAlignment="1">
      <alignment horizontal="left" vertical="top"/>
    </xf>
    <xf numFmtId="0" fontId="1" fillId="0" borderId="6" xfId="0" applyFont="1" applyBorder="1" applyAlignment="1">
      <alignment horizontal="left" vertical="top"/>
    </xf>
    <xf numFmtId="0" fontId="2" fillId="0" borderId="11" xfId="2" applyBorder="1" applyAlignment="1" applyProtection="1">
      <alignment vertical="top"/>
    </xf>
    <xf numFmtId="0" fontId="0" fillId="0" borderId="0" xfId="0" applyFont="1" applyAlignment="1">
      <alignment horizontal="left" vertical="top"/>
    </xf>
    <xf numFmtId="0" fontId="6" fillId="2" borderId="3" xfId="4" applyFont="1" applyBorder="1" applyAlignment="1" applyProtection="1">
      <alignment horizontal="left" vertical="top"/>
      <protection locked="0"/>
    </xf>
    <xf numFmtId="164" fontId="0" fillId="0" borderId="0" xfId="0" applyNumberFormat="1" applyAlignment="1" applyProtection="1">
      <alignment horizontal="left" vertical="top"/>
    </xf>
    <xf numFmtId="165" fontId="6" fillId="2" borderId="3" xfId="4" applyNumberFormat="1" applyFont="1" applyBorder="1" applyAlignment="1" applyProtection="1">
      <alignment horizontal="left" vertical="top" wrapText="1"/>
      <protection locked="0"/>
    </xf>
    <xf numFmtId="0" fontId="7" fillId="0" borderId="11" xfId="2" applyFont="1" applyBorder="1" applyAlignment="1" applyProtection="1">
      <alignment vertical="top"/>
    </xf>
    <xf numFmtId="1" fontId="0" fillId="0" borderId="0" xfId="0" applyNumberFormat="1" applyAlignment="1" applyProtection="1">
      <alignment horizontal="left" vertical="top"/>
    </xf>
    <xf numFmtId="0" fontId="3" fillId="0" borderId="0" xfId="0" applyFont="1" applyBorder="1" applyAlignment="1">
      <alignment horizontal="left" vertical="top"/>
    </xf>
    <xf numFmtId="0" fontId="0" fillId="0" borderId="0" xfId="0" applyFont="1" applyAlignment="1">
      <alignment horizontal="left" vertical="top" wrapText="1"/>
    </xf>
    <xf numFmtId="0" fontId="4" fillId="0" borderId="0" xfId="3" applyBorder="1" applyAlignment="1" applyProtection="1">
      <alignment vertical="center"/>
    </xf>
    <xf numFmtId="0" fontId="0" fillId="0" borderId="0" xfId="0" applyFont="1" applyProtection="1"/>
    <xf numFmtId="49" fontId="0" fillId="0" borderId="0" xfId="0" applyNumberFormat="1" applyProtection="1">
      <protection locked="0"/>
    </xf>
    <xf numFmtId="49" fontId="0" fillId="0" borderId="0" xfId="0" applyNumberFormat="1" applyProtection="1"/>
    <xf numFmtId="0" fontId="0" fillId="0" borderId="0" xfId="0" applyProtection="1"/>
    <xf numFmtId="0" fontId="3" fillId="0" borderId="0" xfId="0" applyFont="1" applyProtection="1"/>
    <xf numFmtId="0" fontId="10" fillId="0" borderId="2" xfId="6" applyAlignment="1" applyProtection="1">
      <alignment horizontal="center" vertical="center"/>
    </xf>
    <xf numFmtId="0" fontId="4" fillId="0" borderId="0" xfId="3" applyBorder="1" applyAlignment="1" applyProtection="1"/>
    <xf numFmtId="0" fontId="10" fillId="0" borderId="2" xfId="6" applyAlignment="1" applyProtection="1">
      <alignment wrapText="1"/>
    </xf>
    <xf numFmtId="0" fontId="10" fillId="0" borderId="2" xfId="6" applyAlignment="1" applyProtection="1">
      <alignment horizontal="center" wrapText="1"/>
    </xf>
    <xf numFmtId="0" fontId="0" fillId="0" borderId="0" xfId="0" applyFont="1" applyAlignment="1" applyProtection="1">
      <alignment horizontal="right"/>
    </xf>
    <xf numFmtId="1" fontId="0" fillId="0" borderId="0" xfId="0" applyNumberFormat="1" applyProtection="1">
      <protection locked="0"/>
    </xf>
    <xf numFmtId="0" fontId="0" fillId="0" borderId="0" xfId="0" applyProtection="1">
      <protection locked="0"/>
    </xf>
    <xf numFmtId="0" fontId="4" fillId="0" borderId="0" xfId="3" applyBorder="1" applyAlignment="1" applyProtection="1">
      <alignment vertical="center" wrapText="1"/>
    </xf>
    <xf numFmtId="0" fontId="10" fillId="0" borderId="2" xfId="6" applyAlignment="1" applyProtection="1"/>
    <xf numFmtId="0" fontId="0" fillId="0" borderId="0" xfId="0" applyFont="1" applyProtection="1"/>
    <xf numFmtId="0" fontId="1" fillId="0" borderId="0" xfId="0" applyFont="1" applyProtection="1"/>
    <xf numFmtId="0" fontId="1" fillId="0" borderId="13" xfId="0" applyFont="1" applyBorder="1" applyProtection="1"/>
    <xf numFmtId="0" fontId="1" fillId="0" borderId="14" xfId="0" applyFont="1" applyBorder="1" applyProtection="1"/>
    <xf numFmtId="0" fontId="1" fillId="0" borderId="15" xfId="0" applyFont="1" applyBorder="1" applyProtection="1"/>
    <xf numFmtId="0" fontId="0" fillId="0" borderId="0" xfId="0" applyBorder="1" applyProtection="1"/>
    <xf numFmtId="0" fontId="1" fillId="0" borderId="16" xfId="0" applyFont="1" applyBorder="1" applyProtection="1"/>
    <xf numFmtId="0" fontId="1" fillId="0" borderId="17" xfId="0" applyFont="1" applyBorder="1" applyProtection="1"/>
    <xf numFmtId="0" fontId="1" fillId="0" borderId="18" xfId="0" applyFont="1" applyBorder="1" applyProtection="1"/>
    <xf numFmtId="0" fontId="11" fillId="0" borderId="19" xfId="0" applyFont="1" applyBorder="1" applyProtection="1"/>
    <xf numFmtId="0" fontId="11" fillId="0" borderId="0" xfId="0" applyFont="1" applyBorder="1" applyProtection="1"/>
    <xf numFmtId="0" fontId="11" fillId="0" borderId="0" xfId="0" applyFont="1" applyBorder="1" applyAlignment="1" applyProtection="1"/>
    <xf numFmtId="0" fontId="11" fillId="0" borderId="20" xfId="0" applyFont="1" applyBorder="1" applyProtection="1"/>
    <xf numFmtId="0" fontId="0" fillId="4" borderId="0" xfId="0" applyFont="1" applyFill="1" applyBorder="1" applyProtection="1"/>
    <xf numFmtId="0" fontId="11" fillId="0" borderId="21" xfId="0" applyFont="1" applyBorder="1" applyProtection="1"/>
    <xf numFmtId="0" fontId="11" fillId="0" borderId="22" xfId="0" applyFont="1" applyBorder="1" applyProtection="1"/>
    <xf numFmtId="0" fontId="11" fillId="0" borderId="22" xfId="0" applyFont="1" applyBorder="1" applyAlignment="1" applyProtection="1"/>
    <xf numFmtId="0" fontId="0" fillId="0" borderId="22" xfId="0" applyFont="1" applyBorder="1" applyProtection="1"/>
    <xf numFmtId="0" fontId="11" fillId="0" borderId="23" xfId="0" applyFont="1" applyBorder="1" applyProtection="1"/>
    <xf numFmtId="0" fontId="1" fillId="0" borderId="0" xfId="0" applyFont="1" applyBorder="1" applyProtection="1"/>
    <xf numFmtId="0" fontId="0" fillId="4" borderId="0" xfId="0" applyFont="1" applyFill="1" applyProtection="1"/>
    <xf numFmtId="0" fontId="0" fillId="0" borderId="0" xfId="0" applyFont="1" applyProtection="1"/>
    <xf numFmtId="0" fontId="0" fillId="0" borderId="19" xfId="0" applyBorder="1" applyProtection="1"/>
    <xf numFmtId="0" fontId="0" fillId="0" borderId="20" xfId="0" applyBorder="1" applyProtection="1"/>
    <xf numFmtId="0" fontId="0" fillId="0" borderId="21" xfId="0" applyBorder="1" applyProtection="1"/>
    <xf numFmtId="0" fontId="0" fillId="0" borderId="23" xfId="0" applyBorder="1" applyProtection="1"/>
    <xf numFmtId="0" fontId="0" fillId="0" borderId="0" xfId="0" applyFont="1" applyBorder="1" applyProtection="1"/>
    <xf numFmtId="0" fontId="0" fillId="0" borderId="0" xfId="0" applyBorder="1" applyProtection="1"/>
    <xf numFmtId="0" fontId="12" fillId="0" borderId="0" xfId="0" applyFont="1" applyBorder="1" applyProtection="1"/>
    <xf numFmtId="0" fontId="0" fillId="0" borderId="0" xfId="0" applyFont="1" applyAlignment="1" applyProtection="1"/>
    <xf numFmtId="0" fontId="0" fillId="0" borderId="0" xfId="0" applyFont="1" applyBorder="1" applyAlignment="1" applyProtection="1">
      <alignment horizontal="left" vertical="top"/>
    </xf>
    <xf numFmtId="0" fontId="13" fillId="0" borderId="0" xfId="0" applyFont="1" applyBorder="1" applyProtection="1"/>
    <xf numFmtId="0" fontId="14" fillId="0" borderId="19" xfId="0" applyFont="1" applyBorder="1" applyProtection="1"/>
    <xf numFmtId="0" fontId="14" fillId="0" borderId="0" xfId="0" applyFont="1" applyBorder="1" applyProtection="1"/>
    <xf numFmtId="0" fontId="14" fillId="0" borderId="0" xfId="0" applyFont="1" applyBorder="1" applyAlignment="1" applyProtection="1"/>
    <xf numFmtId="0" fontId="0" fillId="0" borderId="0" xfId="0" applyFont="1" applyAlignment="1" applyProtection="1">
      <alignment horizontal="left" vertical="top"/>
    </xf>
    <xf numFmtId="0" fontId="11" fillId="5" borderId="0" xfId="0" applyFont="1" applyFill="1" applyBorder="1" applyAlignment="1" applyProtection="1"/>
    <xf numFmtId="0" fontId="0" fillId="0" borderId="22" xfId="0" applyBorder="1" applyProtection="1"/>
    <xf numFmtId="0" fontId="0" fillId="0" borderId="24" xfId="0" applyBorder="1" applyAlignment="1" applyProtection="1">
      <alignment horizontal="left" vertical="top"/>
    </xf>
    <xf numFmtId="0" fontId="0" fillId="0" borderId="25" xfId="0" applyBorder="1" applyAlignment="1" applyProtection="1">
      <alignment horizontal="left" vertical="top"/>
    </xf>
    <xf numFmtId="0" fontId="0" fillId="0" borderId="26" xfId="0" applyBorder="1" applyAlignment="1" applyProtection="1">
      <alignment horizontal="left" vertical="top"/>
    </xf>
    <xf numFmtId="0" fontId="0" fillId="0" borderId="0" xfId="0" applyBorder="1" applyAlignment="1" applyProtection="1">
      <alignment horizontal="left" vertical="top"/>
    </xf>
    <xf numFmtId="0" fontId="0" fillId="0" borderId="16" xfId="0" applyFont="1" applyBorder="1" applyAlignment="1" applyProtection="1">
      <alignment horizontal="left" vertical="top"/>
    </xf>
    <xf numFmtId="0" fontId="0" fillId="0" borderId="17" xfId="0" applyBorder="1" applyAlignment="1" applyProtection="1">
      <alignment horizontal="left" vertical="top"/>
    </xf>
    <xf numFmtId="0" fontId="0" fillId="0" borderId="18" xfId="0" applyBorder="1" applyAlignment="1" applyProtection="1">
      <alignment horizontal="left" vertical="top"/>
    </xf>
    <xf numFmtId="0" fontId="0" fillId="0" borderId="19" xfId="0" applyFont="1" applyBorder="1" applyAlignment="1" applyProtection="1">
      <alignment horizontal="left" vertical="top"/>
    </xf>
    <xf numFmtId="0" fontId="0" fillId="0" borderId="21" xfId="0" applyBorder="1" applyAlignment="1" applyProtection="1">
      <alignment horizontal="left" vertical="top"/>
    </xf>
    <xf numFmtId="0" fontId="0" fillId="0" borderId="22" xfId="0" applyBorder="1" applyAlignment="1" applyProtection="1">
      <alignment horizontal="left" vertical="top"/>
    </xf>
    <xf numFmtId="0" fontId="0" fillId="0" borderId="0" xfId="0" applyFont="1" applyBorder="1" applyAlignment="1" applyProtection="1">
      <alignment horizontal="center" vertical="top" wrapText="1"/>
    </xf>
    <xf numFmtId="0" fontId="6" fillId="2" borderId="3" xfId="4" applyFont="1" applyBorder="1" applyAlignment="1" applyProtection="1">
      <alignment horizontal="left" vertical="top"/>
      <protection locked="0"/>
    </xf>
    <xf numFmtId="49" fontId="6" fillId="2" borderId="3" xfId="4" applyNumberFormat="1" applyFont="1" applyBorder="1" applyAlignment="1" applyProtection="1">
      <alignment horizontal="left" vertical="top"/>
      <protection locked="0"/>
    </xf>
    <xf numFmtId="0" fontId="1" fillId="0" borderId="6" xfId="0" applyFont="1" applyBorder="1" applyAlignment="1">
      <alignment horizontal="left" vertical="top"/>
    </xf>
    <xf numFmtId="0" fontId="0" fillId="0" borderId="6" xfId="0" applyBorder="1"/>
    <xf numFmtId="0" fontId="0" fillId="0" borderId="0" xfId="0" applyBorder="1" applyAlignment="1" applyProtection="1">
      <alignment horizontal="left" vertical="top" wrapText="1"/>
    </xf>
    <xf numFmtId="0" fontId="0" fillId="0" borderId="0" xfId="0" applyFont="1" applyBorder="1" applyAlignment="1">
      <alignment horizontal="left" vertical="top"/>
    </xf>
    <xf numFmtId="0" fontId="6" fillId="2" borderId="3" xfId="4" applyFont="1" applyBorder="1" applyAlignment="1" applyProtection="1">
      <alignment horizontal="left" vertical="top" wrapText="1"/>
      <protection locked="0"/>
    </xf>
    <xf numFmtId="49" fontId="6" fillId="2" borderId="3" xfId="4" applyNumberFormat="1" applyFont="1" applyBorder="1" applyAlignment="1" applyProtection="1">
      <alignment horizontal="left" vertical="top" wrapText="1"/>
      <protection locked="0"/>
    </xf>
    <xf numFmtId="0" fontId="1" fillId="0" borderId="0" xfId="0" applyFont="1" applyBorder="1" applyAlignment="1" applyProtection="1">
      <alignment horizontal="left" vertical="top"/>
    </xf>
    <xf numFmtId="0" fontId="3" fillId="3" borderId="12" xfId="5" applyFont="1" applyBorder="1" applyAlignment="1" applyProtection="1">
      <alignment horizontal="left" vertical="top"/>
    </xf>
    <xf numFmtId="0" fontId="3" fillId="3" borderId="0" xfId="5" applyFont="1" applyBorder="1" applyAlignment="1" applyProtection="1">
      <alignment horizontal="left" vertical="top"/>
    </xf>
    <xf numFmtId="0" fontId="0" fillId="0" borderId="6" xfId="0" applyFont="1" applyBorder="1" applyAlignment="1">
      <alignment horizontal="left" vertical="top"/>
    </xf>
    <xf numFmtId="0" fontId="0" fillId="0" borderId="0" xfId="0" applyBorder="1" applyAlignment="1">
      <alignment horizontal="left" vertical="top"/>
    </xf>
    <xf numFmtId="0" fontId="1" fillId="0" borderId="0" xfId="0" applyFont="1" applyBorder="1" applyAlignment="1">
      <alignment horizontal="left" vertical="top"/>
    </xf>
    <xf numFmtId="0" fontId="9" fillId="0" borderId="10" xfId="1" applyFont="1" applyBorder="1" applyAlignment="1" applyProtection="1">
      <alignment vertical="top"/>
      <protection locked="0" hidden="1"/>
    </xf>
    <xf numFmtId="0" fontId="9" fillId="0" borderId="0" xfId="1" applyFont="1" applyBorder="1" applyAlignment="1" applyProtection="1">
      <alignment vertical="top"/>
      <protection locked="0" hidden="1"/>
    </xf>
    <xf numFmtId="0" fontId="0" fillId="0" borderId="9" xfId="0" applyFont="1" applyBorder="1" applyAlignment="1">
      <alignment horizontal="left" vertical="top"/>
    </xf>
    <xf numFmtId="49" fontId="6" fillId="2" borderId="8" xfId="4" applyNumberFormat="1" applyFont="1" applyBorder="1" applyAlignment="1" applyProtection="1">
      <alignment horizontal="left" vertical="top"/>
      <protection locked="0"/>
    </xf>
    <xf numFmtId="0" fontId="9" fillId="0" borderId="0" xfId="1" applyFont="1" applyBorder="1" applyAlignment="1" applyProtection="1">
      <alignment horizontal="left" vertical="top"/>
      <protection locked="0"/>
    </xf>
    <xf numFmtId="0" fontId="1" fillId="0" borderId="5" xfId="0" applyFont="1" applyBorder="1" applyAlignment="1">
      <alignment horizontal="left"/>
    </xf>
    <xf numFmtId="0" fontId="1" fillId="0" borderId="7" xfId="0" applyFont="1" applyBorder="1" applyAlignment="1">
      <alignment horizontal="left" vertical="top"/>
    </xf>
    <xf numFmtId="0" fontId="4" fillId="0" borderId="0" xfId="3" applyBorder="1" applyAlignment="1" applyProtection="1">
      <alignment horizontal="left" vertical="top"/>
    </xf>
    <xf numFmtId="0" fontId="0" fillId="0" borderId="4" xfId="0" applyBorder="1" applyAlignment="1">
      <alignment horizontal="center"/>
    </xf>
    <xf numFmtId="0" fontId="10" fillId="0" borderId="2" xfId="6" applyBorder="1" applyAlignment="1" applyProtection="1">
      <alignment horizontal="center" vertical="center" wrapText="1"/>
    </xf>
    <xf numFmtId="0" fontId="10" fillId="0" borderId="0" xfId="6" applyBorder="1" applyAlignment="1" applyProtection="1">
      <alignment horizontal="center" vertical="center" wrapText="1"/>
    </xf>
  </cellXfs>
  <cellStyles count="7">
    <cellStyle name="Excel Built-in 20% - Accent2" xfId="5" xr:uid="{00000000-0005-0000-0000-00000A000000}"/>
    <cellStyle name="Excel Built-in Explanatory Text" xfId="2" xr:uid="{00000000-0005-0000-0000-000006000000}"/>
    <cellStyle name="Excel Built-in Heading 3" xfId="6" xr:uid="{00000000-0005-0000-0000-00000B000000}"/>
    <cellStyle name="Excel Built-in Output" xfId="4" xr:uid="{00000000-0005-0000-0000-000008000000}"/>
    <cellStyle name="Excel Built-in Title" xfId="3" xr:uid="{00000000-0005-0000-0000-000007000000}"/>
    <cellStyle name="Hivatkozás" xfId="1" builtinId="8"/>
    <cellStyle name="Normál" xfId="0" builtinId="0"/>
  </cellStyles>
  <dxfs count="26">
    <dxf>
      <fill>
        <patternFill>
          <bgColor rgb="FFFBE5D6"/>
        </patternFill>
      </fill>
    </dxf>
    <dxf>
      <fill>
        <patternFill>
          <bgColor rgb="FFFBE5D6"/>
        </patternFill>
      </fill>
    </dxf>
    <dxf>
      <font>
        <color rgb="FF9C0006"/>
      </font>
      <fill>
        <patternFill>
          <bgColor rgb="FFFFC7CE"/>
        </patternFill>
      </fill>
    </dxf>
    <dxf>
      <fill>
        <patternFill>
          <bgColor rgb="FFFBE5D6"/>
        </patternFill>
      </fill>
    </dxf>
    <dxf>
      <fill>
        <patternFill>
          <bgColor rgb="FFFBE5D6"/>
        </patternFill>
      </fill>
    </dxf>
    <dxf>
      <font>
        <color rgb="FF9C0006"/>
      </font>
      <fill>
        <patternFill>
          <bgColor rgb="FFFFC7CE"/>
        </patternFill>
      </fill>
    </dxf>
    <dxf>
      <font>
        <color rgb="FF9C0006"/>
      </font>
      <fill>
        <patternFill>
          <bgColor rgb="FFFFC7CE"/>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FFFFF"/>
        </patternFill>
      </fill>
    </dxf>
    <dxf>
      <fill>
        <patternFill>
          <bgColor rgb="FFF2F2F2"/>
        </patternFill>
      </fill>
    </dxf>
    <dxf>
      <fill>
        <patternFill>
          <bgColor rgb="FFF2F2F2"/>
        </patternFill>
      </fill>
    </dxf>
    <dxf>
      <fill>
        <patternFill>
          <bgColor rgb="FFF2F2F2"/>
        </patternFill>
      </fill>
    </dxf>
    <dxf>
      <fill>
        <patternFill>
          <bgColor rgb="FFFFFFFF"/>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8FAADC"/>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BE5D6"/>
      <rgbColor rgb="FF99CCFF"/>
      <rgbColor rgb="FFFF99CC"/>
      <rgbColor rgb="FFCC99FF"/>
      <rgbColor rgb="FFFFC7CE"/>
      <rgbColor rgb="FF3366FF"/>
      <rgbColor rgb="FF33CCCC"/>
      <rgbColor rgb="FF99CC00"/>
      <rgbColor rgb="FFFFCC00"/>
      <rgbColor rgb="FFFF9900"/>
      <rgbColor rgb="FFFF6600"/>
      <rgbColor rgb="FF44546A"/>
      <rgbColor rgb="FF7F7F7F"/>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eywords" displayName="keywords" ref="B9:B14" totalsRowShown="0">
  <tableColumns count="1">
    <tableColumn id="1" xr3:uid="{00000000-0010-0000-0000-000001000000}" name="xs:keyword"/>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urposes" displayName="purposes" ref="A2:A45" totalsRowShown="0">
  <autoFilter ref="A2:A45" xr:uid="{00000000-0009-0000-0100-000004000000}"/>
  <tableColumns count="1">
    <tableColumn id="1" xr3:uid="{00000000-0010-0000-0100-000001000000}" name="Purpos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expected_severities" displayName="expected_severities" ref="A3:F42" totalsRowShown="0">
  <tableColumns count="6">
    <tableColumn id="1" xr3:uid="{00000000-0010-0000-0200-000001000000}" name="xs:species"/>
    <tableColumn id="2" xr3:uid="{00000000-0010-0000-0200-000002000000}" name="xs:nonRecovery"/>
    <tableColumn id="3" xr3:uid="{00000000-0010-0000-0200-000003000000}" name="xs:mild"/>
    <tableColumn id="4" xr3:uid="{00000000-0010-0000-0200-000004000000}" name="xs:moderate"/>
    <tableColumn id="5" xr3:uid="{00000000-0010-0000-0200-000005000000}" name="xs:severe"/>
    <tableColumn id="6" xr3:uid="{00000000-0010-0000-0200-000006000000}" name="xs:custom"/>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fate_of_animals" displayName="fate_of_animals" ref="A3:D42" totalsRowShown="0">
  <tableColumns count="4">
    <tableColumn id="1" xr3:uid="{00000000-0010-0000-0300-000001000000}" name="xs:species"/>
    <tableColumn id="2" xr3:uid="{00000000-0010-0000-0300-000002000000}" name="xs:reused"/>
    <tableColumn id="3" xr3:uid="{00000000-0010-0000-0300-000003000000}" name="xs:returned"/>
    <tableColumn id="4" xr3:uid="{00000000-0010-0000-0300-000004000000}" name="xs:rehomed"/>
  </tableColumns>
  <tableStyleInfo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0"/>
  <sheetViews>
    <sheetView tabSelected="1" topLeftCell="C1" zoomScale="85" zoomScaleNormal="85" workbookViewId="0">
      <selection activeCell="C36" sqref="C36:F36"/>
    </sheetView>
  </sheetViews>
  <sheetFormatPr defaultRowHeight="14.4" x14ac:dyDescent="0.3"/>
  <cols>
    <col min="1" max="1" width="13.109375" style="1" hidden="1" customWidth="1"/>
    <col min="2" max="2" width="16.33203125" style="2" hidden="1" customWidth="1"/>
    <col min="3" max="3" width="49.33203125" style="3" customWidth="1"/>
    <col min="4" max="4" width="12" style="4" customWidth="1"/>
    <col min="5" max="5" width="29.6640625" style="5" customWidth="1"/>
    <col min="6" max="6" width="15.109375" style="6" customWidth="1"/>
    <col min="7" max="7" width="2.109375" style="7" customWidth="1"/>
    <col min="8" max="8" width="55.109375" style="8" customWidth="1"/>
    <col min="9" max="9" width="75.33203125" style="9" customWidth="1"/>
    <col min="10" max="1025" width="9" style="6" customWidth="1"/>
  </cols>
  <sheetData>
    <row r="1" spans="1:9" ht="23.4" x14ac:dyDescent="0.3">
      <c r="A1" s="1" t="s">
        <v>0</v>
      </c>
      <c r="B1" s="2" t="s">
        <v>0</v>
      </c>
      <c r="C1" s="120" t="str">
        <f>UPPER(NTS_title)</f>
        <v>NEM SZAKMAI PROJEKT-ÖSSZEFOGLALÓ</v>
      </c>
      <c r="D1" s="120"/>
      <c r="E1" s="120"/>
      <c r="F1" s="120"/>
      <c r="G1" s="10" t="s">
        <v>1</v>
      </c>
      <c r="H1" s="11"/>
    </row>
    <row r="2" spans="1:9" ht="16.2" customHeight="1" x14ac:dyDescent="0.3">
      <c r="A2" s="12" t="s">
        <v>2</v>
      </c>
      <c r="B2" s="13" t="str">
        <f>IF(TRIM(D2)="","",UPPER(D2))</f>
        <v>HU</v>
      </c>
      <c r="C2" s="3" t="str">
        <f>country_label</f>
        <v>Ország</v>
      </c>
      <c r="D2" s="14" t="s">
        <v>4915</v>
      </c>
      <c r="E2" s="121"/>
      <c r="F2" s="121"/>
      <c r="G2" s="15" t="s">
        <v>3</v>
      </c>
      <c r="H2" s="11"/>
      <c r="I2" s="9" t="str">
        <f>compulsory_field_tinstr&amp;" "</f>
        <v xml:space="preserve">Kötelezően kitöltendő! </v>
      </c>
    </row>
    <row r="3" spans="1:9" ht="16.2" customHeight="1" x14ac:dyDescent="0.3">
      <c r="A3" s="12" t="s">
        <v>4</v>
      </c>
      <c r="B3" s="13" t="str">
        <f>IF(TRIM(D3)="","",LOWER(D3))</f>
        <v>hu</v>
      </c>
      <c r="C3" s="3" t="str">
        <f>language_label</f>
        <v>Nyelv</v>
      </c>
      <c r="D3" s="16" t="s">
        <v>5</v>
      </c>
      <c r="E3" s="121"/>
      <c r="F3" s="121"/>
      <c r="G3" s="15" t="s">
        <v>3</v>
      </c>
      <c r="H3" s="11"/>
      <c r="I3" s="9" t="str">
        <f>compulsory_field_tinstr&amp;" "</f>
        <v xml:space="preserve">Kötelezően kitöltendő! </v>
      </c>
    </row>
    <row r="4" spans="1:9" ht="15" customHeight="1" x14ac:dyDescent="0.3">
      <c r="A4" s="12" t="s">
        <v>6</v>
      </c>
      <c r="B4" s="2" t="str">
        <f>IF(TRIM(D4)="","",VALUE(MID(D4,SEARCH("[", D4)+1,SEARCH("]",D4)-SEARCH("[",D4)-1)))</f>
        <v/>
      </c>
      <c r="C4" s="3" t="str">
        <f>euSubmission_label</f>
        <v>Uniós célú benyújtás</v>
      </c>
      <c r="D4" s="16"/>
      <c r="E4" s="121"/>
      <c r="F4" s="121"/>
      <c r="G4" s="15" t="s">
        <v>3</v>
      </c>
      <c r="H4" s="11"/>
      <c r="I4" s="9" t="str">
        <f>compulsory_field_tinstr&amp;" "&amp;" "&amp;not_published_instr&amp;" "&amp;euSubmission_instr</f>
        <v>Kötelezően kitöltendő!  A mezőt nem tesszük közzé. Tüntesse fel, hogy a projekt az irányelv hatálya alá tartozik-e vagy sem.</v>
      </c>
    </row>
    <row r="5" spans="1:9" x14ac:dyDescent="0.3">
      <c r="A5" s="12" t="s">
        <v>7</v>
      </c>
      <c r="B5" s="13" t="str">
        <f>IF(TRIM(D5)="","",D5)</f>
        <v/>
      </c>
      <c r="C5" s="3" t="str">
        <f>projectTitle_label</f>
        <v>A projekt címe</v>
      </c>
      <c r="D5" s="105"/>
      <c r="E5" s="105"/>
      <c r="F5" s="105"/>
      <c r="G5" s="15" t="s">
        <v>3</v>
      </c>
      <c r="I5" s="9" t="str">
        <f>compulsory_field_tinstr&amp;" "&amp;maxLength_500_tinstr</f>
        <v>Kötelezően kitöltendő! Legfeljebb 500 karakter.</v>
      </c>
    </row>
    <row r="6" spans="1:9" x14ac:dyDescent="0.3">
      <c r="A6" s="12" t="s">
        <v>8</v>
      </c>
      <c r="B6" s="13" t="str">
        <f>IF(TRIM(D6)="","",D6)</f>
        <v/>
      </c>
      <c r="C6" s="3" t="str">
        <f>ntsId_label</f>
        <v>A nem szakmai projekt-összefoglaló azonosítója</v>
      </c>
      <c r="D6" s="106"/>
      <c r="E6" s="106"/>
      <c r="F6" s="18"/>
      <c r="G6" s="19"/>
      <c r="H6" s="20"/>
      <c r="I6" s="9" t="str">
        <f>ntsId_instr&amp;" "&amp;ntsId_tinstr</f>
        <v>A nem szakmai projekt-összefoglaló egyedi azonosítója az Európai Bizottság központi rendszerében. Csak akkor kell kitölteni, ha olyan nem szakmai projekt-összefoglalót frissítenek, amely már szerepel az Európai Bizottság rendszerében.</v>
      </c>
    </row>
    <row r="7" spans="1:9" ht="31.95" customHeight="1" x14ac:dyDescent="0.3">
      <c r="A7" s="12" t="s">
        <v>9</v>
      </c>
      <c r="B7" s="21" t="str">
        <f>IF(TRIM(D7)="","",D7)</f>
        <v/>
      </c>
      <c r="C7" s="22" t="str">
        <f>ntsNationalId_label</f>
        <v>A nem szakmai projekt-összefoglaló nemzeti azonosítója</v>
      </c>
      <c r="D7" s="100"/>
      <c r="E7" s="100"/>
      <c r="F7" s="100"/>
      <c r="H7" s="20"/>
      <c r="I7" s="9" t="str">
        <f>not_published_instr&amp;" "&amp;ntsNationalId_instr&amp;" "&amp;maxLength_500_tinstr</f>
        <v>A mezőt nem tesszük közzé. A nem szakmai projekt-összefoglaló nemzeti azonosítója. Legfeljebb 500 karakter.</v>
      </c>
    </row>
    <row r="8" spans="1:9" ht="15" customHeight="1" x14ac:dyDescent="0.3">
      <c r="A8" s="12" t="s">
        <v>10</v>
      </c>
      <c r="B8" s="2" t="str">
        <f>IF(TRIM(D8)="","",D8)</f>
        <v/>
      </c>
      <c r="C8" s="3" t="str">
        <f>projectDuration_label</f>
        <v>A projekt időtartama</v>
      </c>
      <c r="D8" s="16"/>
      <c r="E8" s="118" t="str">
        <f>duration_unit_label</f>
        <v>(hónapokban)</v>
      </c>
      <c r="F8" s="118"/>
      <c r="G8" s="15" t="s">
        <v>3</v>
      </c>
      <c r="H8" s="20"/>
      <c r="I8" s="9" t="str">
        <f>compulsory_field_tinstr&amp;" "&amp;projectDuration_instr&amp;" "&amp;projectDuration_tinstr</f>
        <v>Kötelezően kitöltendő! A projekt időtartama hónapokban kifejezve. 1 és 60 közötti egész számnak kell lennie!</v>
      </c>
    </row>
    <row r="9" spans="1:9" x14ac:dyDescent="0.3">
      <c r="A9" s="12" t="s">
        <v>11</v>
      </c>
      <c r="B9" s="2" t="s">
        <v>12</v>
      </c>
      <c r="C9" s="119" t="str">
        <f>keywords_label</f>
        <v>Kulcsszavak</v>
      </c>
      <c r="D9" s="119"/>
      <c r="E9" s="119"/>
      <c r="F9" s="119"/>
      <c r="G9" s="15" t="s">
        <v>3</v>
      </c>
      <c r="I9" s="9" t="str">
        <f>compulsory_field_tinstr&amp;" "&amp;at_least_one_keyword_mssg</f>
        <v>Kötelezően kitöltendő! Írjon be legalább egy kulcsszót!</v>
      </c>
    </row>
    <row r="10" spans="1:9" x14ac:dyDescent="0.3">
      <c r="A10" s="12"/>
      <c r="B10" s="13" t="str">
        <f>IF(TRIM(D10)="","",D10)</f>
        <v/>
      </c>
      <c r="C10" s="23" t="str">
        <f>keyword_label &amp; " " &amp; 1</f>
        <v>Kulcsszó 1</v>
      </c>
      <c r="D10" s="105"/>
      <c r="E10" s="105"/>
      <c r="F10" s="105"/>
      <c r="I10" s="9" t="str">
        <f>maxLength_50_tinstr&amp;" "&amp;keyword_tinstr</f>
        <v>Legfeljebb 50 karakter szóközökkel együtt. Több szóból állhat.</v>
      </c>
    </row>
    <row r="11" spans="1:9" x14ac:dyDescent="0.3">
      <c r="A11" s="12"/>
      <c r="B11" s="13" t="str">
        <f>IF(TRIM(D11)="","",D11)</f>
        <v/>
      </c>
      <c r="C11" s="23" t="str">
        <f>keyword_label &amp; " " &amp; 2</f>
        <v>Kulcsszó 2</v>
      </c>
      <c r="D11" s="100"/>
      <c r="E11" s="100"/>
      <c r="F11" s="100"/>
      <c r="I11" s="9" t="str">
        <f>maxLength_50_tinstr&amp;" "&amp;keyword_tinstr</f>
        <v>Legfeljebb 50 karakter szóközökkel együtt. Több szóból állhat.</v>
      </c>
    </row>
    <row r="12" spans="1:9" x14ac:dyDescent="0.3">
      <c r="A12" s="12"/>
      <c r="B12" s="13" t="str">
        <f>IF(TRIM(D12)="","",D12)</f>
        <v/>
      </c>
      <c r="C12" s="23" t="str">
        <f>keyword_label &amp; " " &amp; 3</f>
        <v>Kulcsszó 3</v>
      </c>
      <c r="D12" s="100"/>
      <c r="E12" s="100"/>
      <c r="F12" s="100"/>
      <c r="I12" s="9" t="str">
        <f>maxLength_50_tinstr&amp;" "&amp;keyword_tinstr</f>
        <v>Legfeljebb 50 karakter szóközökkel együtt. Több szóból állhat.</v>
      </c>
    </row>
    <row r="13" spans="1:9" x14ac:dyDescent="0.3">
      <c r="A13" s="12"/>
      <c r="B13" s="13" t="str">
        <f>IF(TRIM(D13)="","",D13)</f>
        <v/>
      </c>
      <c r="C13" s="23" t="str">
        <f>keyword_label &amp; " " &amp; 4</f>
        <v>Kulcsszó 4</v>
      </c>
      <c r="D13" s="116"/>
      <c r="E13" s="116"/>
      <c r="F13" s="116"/>
      <c r="I13" s="9" t="str">
        <f>maxLength_50_tinstr&amp;" "&amp;keyword_tinstr</f>
        <v>Legfeljebb 50 karakter szóközökkel együtt. Több szóból állhat.</v>
      </c>
    </row>
    <row r="14" spans="1:9" x14ac:dyDescent="0.3">
      <c r="A14" s="12"/>
      <c r="B14" s="13" t="str">
        <f>IF(TRIM(D14)="","",D14)</f>
        <v/>
      </c>
      <c r="C14" s="23" t="str">
        <f>keyword_label &amp; " " &amp; 5</f>
        <v>Kulcsszó 5</v>
      </c>
      <c r="D14" s="100"/>
      <c r="E14" s="100"/>
      <c r="F14" s="100"/>
      <c r="I14" s="9" t="str">
        <f>maxLength_50_tinstr&amp;" "&amp;keyword_tinstr</f>
        <v>Legfeljebb 50 karakter szóközökkel együtt. Több szóból állhat.</v>
      </c>
    </row>
    <row r="15" spans="1:9" x14ac:dyDescent="0.3">
      <c r="A15" s="12" t="s">
        <v>13</v>
      </c>
      <c r="C15" s="117" t="str">
        <f t="array" ref="C15">projectPurposes_label</f>
        <v>A projekt  célja(i)</v>
      </c>
      <c r="D15" s="117"/>
      <c r="E15" s="117"/>
      <c r="F15" s="117"/>
      <c r="G15" s="15" t="s">
        <v>3</v>
      </c>
      <c r="I15" s="9" t="str">
        <f>compulsory_field_tinstr&amp;" "&amp;projectPurposes_tinstr&amp;" "&amp;at_least_one_purpose_mssg</f>
        <v>Kötelezően kitöltendő! Kérjük, töltse ki „A projekt célja” lapot. Válasszon ki legalább egy célt!</v>
      </c>
    </row>
    <row r="16" spans="1:9" x14ac:dyDescent="0.3">
      <c r="A16" s="12"/>
      <c r="C16" s="112" t="str">
        <f>objectives_and_benefits_label</f>
        <v>A projekt célkitűzései és várható előnyei</v>
      </c>
      <c r="D16" s="112"/>
      <c r="E16" s="112"/>
      <c r="F16" s="112"/>
      <c r="G16" s="112"/>
    </row>
    <row r="17" spans="1:9" x14ac:dyDescent="0.3">
      <c r="A17" s="12"/>
      <c r="C17" s="115" t="str">
        <f>projectObjectives_label</f>
        <v>A projekt célkitűzései</v>
      </c>
      <c r="D17" s="115"/>
      <c r="E17" s="115"/>
      <c r="F17" s="115"/>
      <c r="G17" s="15" t="s">
        <v>3</v>
      </c>
    </row>
    <row r="18" spans="1:9" ht="127.5" customHeight="1" x14ac:dyDescent="0.3">
      <c r="A18" s="12" t="s">
        <v>14</v>
      </c>
      <c r="B18" s="21" t="str">
        <f>IF(TRIM(C18)="","",C18)</f>
        <v/>
      </c>
      <c r="C18" s="106"/>
      <c r="D18" s="106"/>
      <c r="E18" s="106"/>
      <c r="F18" s="106"/>
      <c r="H18" s="20" t="str">
        <f>projectObjectives_instr</f>
        <v>Ismertesse a projekt célkitűzéseit (például bizonyos tudományos ismeretek megszerzése, tudományos vagy klinikai szükségletek kielégítése)!</v>
      </c>
      <c r="I18" s="9" t="str">
        <f>compulsory_field_tinstr&amp;" "&amp;maxLength_2500_tinstr</f>
        <v>Kötelezően kitöltendő! Legfeljebb 2500 karakter.</v>
      </c>
    </row>
    <row r="19" spans="1:9" x14ac:dyDescent="0.3">
      <c r="A19" s="12"/>
      <c r="B19" s="13"/>
      <c r="C19" s="115" t="str">
        <f>potentialBenefits_label</f>
        <v>A projektből származó potenciális előnyök</v>
      </c>
      <c r="D19" s="115"/>
      <c r="E19" s="115"/>
      <c r="F19" s="115"/>
      <c r="G19" s="15" t="s">
        <v>3</v>
      </c>
    </row>
    <row r="20" spans="1:9" ht="127.5" customHeight="1" x14ac:dyDescent="0.3">
      <c r="A20" s="12" t="s">
        <v>15</v>
      </c>
      <c r="B20" s="21" t="str">
        <f>IF(TRIM(C20)="","",C20)</f>
        <v/>
      </c>
      <c r="C20" s="106"/>
      <c r="D20" s="106"/>
      <c r="E20" s="106"/>
      <c r="F20" s="106"/>
      <c r="H20" s="20" t="str">
        <f>potentialBenefits_instr</f>
        <v>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v>
      </c>
      <c r="I20" s="9" t="str">
        <f>compulsory_field_tinstr&amp;" "&amp;maxLength_2500_tinstr</f>
        <v>Kötelezően kitöltendő! Legfeljebb 2500 karakter.</v>
      </c>
    </row>
    <row r="21" spans="1:9" x14ac:dyDescent="0.3">
      <c r="A21" s="12"/>
      <c r="B21" s="13"/>
      <c r="C21" s="112" t="str">
        <f t="array" ref="C21">predicted_harms_label</f>
        <v>Várható ártalmak</v>
      </c>
      <c r="D21" s="112"/>
      <c r="E21" s="112"/>
      <c r="F21" s="112"/>
      <c r="G21" s="112"/>
    </row>
    <row r="22" spans="1:9" x14ac:dyDescent="0.3">
      <c r="A22" s="12"/>
      <c r="B22" s="13"/>
      <c r="C22" s="104" t="str">
        <f>procedures_label</f>
        <v>Milyen eljárásoknak vetik alá az állatokat?</v>
      </c>
      <c r="D22" s="104"/>
      <c r="E22" s="104"/>
      <c r="F22" s="104"/>
      <c r="G22" s="15" t="s">
        <v>3</v>
      </c>
    </row>
    <row r="23" spans="1:9" ht="127.5" customHeight="1" x14ac:dyDescent="0.3">
      <c r="A23" s="12" t="s">
        <v>16</v>
      </c>
      <c r="B23" s="21" t="str">
        <f>IF(TRIM(C23)="","",C23)</f>
        <v/>
      </c>
      <c r="C23" s="106"/>
      <c r="D23" s="106"/>
      <c r="E23" s="106"/>
      <c r="F23" s="106"/>
      <c r="H23" s="20" t="str">
        <f>procedures_instr</f>
        <v>Milyen eljárásoknak vetik alá az állatokat (pl. injekciók, sebészeti beavatkozások)? Adja meg ezen eljárások számát és időtartamát!</v>
      </c>
      <c r="I23" s="9" t="str">
        <f>compulsory_field_tinstr&amp;" "&amp;maxLength_2500_tinstr</f>
        <v>Kötelezően kitöltendő! Legfeljebb 2500 karakter.</v>
      </c>
    </row>
    <row r="24" spans="1:9" x14ac:dyDescent="0.3">
      <c r="A24" s="12"/>
      <c r="B24" s="13"/>
      <c r="C24" s="110" t="str">
        <f t="array" ref="C24">expectedImpacts_label</f>
        <v>Az állatokra gyakorolt várható hatások/káros hatások</v>
      </c>
      <c r="D24" s="110"/>
      <c r="E24" s="110"/>
      <c r="F24" s="110"/>
      <c r="G24" s="15" t="s">
        <v>3</v>
      </c>
    </row>
    <row r="25" spans="1:9" ht="127.5" customHeight="1" x14ac:dyDescent="0.3">
      <c r="A25" s="12" t="s">
        <v>17</v>
      </c>
      <c r="B25" s="21" t="str">
        <f>IF(TRIM(C25)="","",C25)</f>
        <v/>
      </c>
      <c r="C25" s="106"/>
      <c r="D25" s="106"/>
      <c r="E25" s="106"/>
      <c r="F25" s="106"/>
      <c r="H25" s="20" t="str">
        <f>expectedImpacts_instr</f>
        <v>Melyek az állatokra gyakorolt várható hatások/káros hatások, például fájdalom, súlyveszteség, inaktivitás/csökkent mozgásképesség, stressz, rendellenes viselkedés, és mekkora e hatások időtartama?</v>
      </c>
      <c r="I25" s="9" t="str">
        <f>compulsory_field_tinstr&amp;" "&amp;maxLength_2500_tinstr</f>
        <v>Kötelezően kitöltendő! Legfeljebb 2500 karakter.</v>
      </c>
    </row>
    <row r="26" spans="1:9" ht="65.7" customHeight="1" x14ac:dyDescent="0.3">
      <c r="A26" s="12" t="s">
        <v>18</v>
      </c>
      <c r="C26" s="113" t="str">
        <f>expectedHarms_label</f>
        <v>Várható ártalmak</v>
      </c>
      <c r="D26" s="113"/>
      <c r="E26" s="113"/>
      <c r="F26" s="113"/>
      <c r="G26" s="15" t="s">
        <v>3</v>
      </c>
      <c r="H26" s="20" t="str">
        <f>expectedHarms_instr</f>
        <v>Milyen fajokat és mennyi állatot fognak várhatóan használni? Mik a várható súlyossági kategóriák és hány állat esik egy-egy kategóriába (fajonként)?</v>
      </c>
      <c r="I26" s="9" t="str">
        <f>compulsory_field_tinstr&amp;" "&amp;expectedHarms_tinstr</f>
        <v>Kötelezően kitöltendő! Kérjük, töltse ki a „Várható ártalmak” lapot. Töltsön ki legalább egy sort!</v>
      </c>
    </row>
    <row r="27" spans="1:9" x14ac:dyDescent="0.3">
      <c r="A27" s="12" t="s">
        <v>19</v>
      </c>
      <c r="C27" s="114" t="str">
        <f>fateList_label</f>
        <v>Az életben maradt állatok sorsa</v>
      </c>
      <c r="D27" s="114"/>
      <c r="E27" s="114"/>
      <c r="F27" s="114"/>
      <c r="H27" s="20" t="str">
        <f>fateList_instr</f>
        <v>Mi történik az eljárás végén életben maradt állatokkal?</v>
      </c>
      <c r="I27" s="9" t="str">
        <f>fateList_tinstr</f>
        <v xml:space="preserve">Kérjük, adott esetben töltse ki „Az életben maradt állatok sorsa” lapot. </v>
      </c>
    </row>
    <row r="28" spans="1:9" x14ac:dyDescent="0.3">
      <c r="C28" s="111" t="str">
        <f>fateReasons_label</f>
        <v>Kérjük, indokolja meg az állatok tervezett sorsát az eljárás után!</v>
      </c>
      <c r="D28" s="111"/>
      <c r="E28" s="111"/>
      <c r="F28" s="111"/>
      <c r="G28" s="15" t="s">
        <v>3</v>
      </c>
    </row>
    <row r="29" spans="1:9" ht="127.5" customHeight="1" x14ac:dyDescent="0.3">
      <c r="A29" s="12" t="s">
        <v>20</v>
      </c>
      <c r="B29" s="21" t="str">
        <f>IF(TRIM(C29)="","",C29)</f>
        <v/>
      </c>
      <c r="C29" s="106"/>
      <c r="D29" s="106"/>
      <c r="E29" s="106"/>
      <c r="F29" s="106"/>
      <c r="H29" s="20" t="str">
        <f>fateReasons_instr</f>
        <v>Kérjük, indokolja meg az állatok tervezett sorsát az eljárás után!</v>
      </c>
      <c r="I29" s="9" t="str">
        <f>compulsory_field_tinstr&amp;" "&amp;maxLength_2500_tinstr</f>
        <v>Kötelezően kitöltendő! Legfeljebb 2500 karakter.</v>
      </c>
    </row>
    <row r="30" spans="1:9" x14ac:dyDescent="0.3">
      <c r="A30" s="12"/>
      <c r="B30" s="13"/>
      <c r="C30" s="112" t="str">
        <f>application_of_the_three_rs_label</f>
        <v>A helyettesítés, a csökkentés és a tökéletesítés (3R) alkalmazása</v>
      </c>
      <c r="D30" s="112"/>
      <c r="E30" s="112"/>
      <c r="F30" s="112"/>
      <c r="G30" s="112"/>
    </row>
    <row r="31" spans="1:9" x14ac:dyDescent="0.3">
      <c r="A31" s="12"/>
      <c r="B31" s="13"/>
      <c r="C31" s="112" t="str">
        <f>replacement_label</f>
        <v>1. Helyettesítés</v>
      </c>
      <c r="D31" s="112"/>
      <c r="E31" s="112"/>
      <c r="F31" s="112"/>
      <c r="G31" s="15" t="s">
        <v>3</v>
      </c>
    </row>
    <row r="32" spans="1:9" ht="127.5" customHeight="1" x14ac:dyDescent="0.3">
      <c r="A32" s="12" t="s">
        <v>21</v>
      </c>
      <c r="B32" s="21" t="str">
        <f>IF(TRIM(C32)="","",C32)</f>
        <v/>
      </c>
      <c r="C32" s="106"/>
      <c r="D32" s="106"/>
      <c r="E32" s="106"/>
      <c r="F32" s="106"/>
      <c r="H32" s="20" t="str">
        <f>replacement_instr</f>
        <v>Az adott területen milyen, állatok felhasználását nem igénylő alternatívák állnak rendelkezésre, és miért nem használhatók e projekt céljaira?</v>
      </c>
      <c r="I32" s="9" t="str">
        <f>compulsory_field_tinstr&amp;" "&amp;maxLength_2500_tinstr</f>
        <v>Kötelezően kitöltendő! Legfeljebb 2500 karakter.</v>
      </c>
    </row>
    <row r="33" spans="1:9" x14ac:dyDescent="0.3">
      <c r="A33" s="12"/>
      <c r="B33" s="13"/>
      <c r="C33" s="101" t="str">
        <f>reduction_label</f>
        <v>2. Csökkentés</v>
      </c>
      <c r="D33" s="101"/>
      <c r="E33" s="101"/>
      <c r="F33" s="101"/>
      <c r="G33" s="15" t="s">
        <v>3</v>
      </c>
    </row>
    <row r="34" spans="1:9" ht="150.75" customHeight="1" x14ac:dyDescent="0.3">
      <c r="A34" s="12" t="s">
        <v>22</v>
      </c>
      <c r="B34" s="21" t="str">
        <f>IF(TRIM(C34)="","",C34)</f>
        <v/>
      </c>
      <c r="C34" s="106"/>
      <c r="D34" s="106"/>
      <c r="E34" s="106"/>
      <c r="F34" s="106"/>
      <c r="H34" s="20" t="str">
        <f>reduction_instr</f>
        <v>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v>
      </c>
      <c r="I34" s="9" t="str">
        <f>compulsory_field_tinstr&amp;" "&amp;maxLength_2500_tinstr</f>
        <v>Kötelezően kitöltendő! Legfeljebb 2500 karakter.</v>
      </c>
    </row>
    <row r="35" spans="1:9" x14ac:dyDescent="0.3">
      <c r="A35" s="12"/>
      <c r="B35" s="13"/>
      <c r="C35" s="101" t="str">
        <f>refinement_label</f>
        <v>3. Tökéletesítés</v>
      </c>
      <c r="D35" s="101"/>
      <c r="E35" s="101"/>
      <c r="F35" s="101"/>
      <c r="G35" s="15" t="s">
        <v>3</v>
      </c>
    </row>
    <row r="36" spans="1:9" ht="127.5" customHeight="1" x14ac:dyDescent="0.3">
      <c r="A36" s="12" t="s">
        <v>23</v>
      </c>
      <c r="B36" s="21" t="str">
        <f>IF(TRIM(C36)="","",C36)</f>
        <v/>
      </c>
      <c r="C36" s="106"/>
      <c r="D36" s="106"/>
      <c r="E36" s="106"/>
      <c r="F36" s="106"/>
      <c r="H36" s="20" t="str">
        <f>refinement_instr</f>
        <v>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v>
      </c>
      <c r="I36" s="9" t="str">
        <f>compulsory_field_tinstr&amp;" "&amp;maxLength_2500_tinstr</f>
        <v>Kötelezően kitöltendő! Legfeljebb 2500 karakter.</v>
      </c>
    </row>
    <row r="37" spans="1:9" x14ac:dyDescent="0.3">
      <c r="A37" s="12"/>
      <c r="B37" s="13"/>
      <c r="C37" s="110" t="str">
        <f>speciesChoiceExplanation_label</f>
        <v>Indokolja a faj és a releváns életszakaszok kiválasztását!</v>
      </c>
      <c r="D37" s="110"/>
      <c r="E37" s="110"/>
      <c r="F37" s="110"/>
      <c r="G37" s="15" t="s">
        <v>3</v>
      </c>
    </row>
    <row r="38" spans="1:9" ht="127.5" customHeight="1" x14ac:dyDescent="0.3">
      <c r="A38" s="12" t="s">
        <v>24</v>
      </c>
      <c r="B38" s="21" t="str">
        <f>IF(TRIM(C38)="","",C38)</f>
        <v/>
      </c>
      <c r="C38" s="106"/>
      <c r="D38" s="106"/>
      <c r="E38" s="106"/>
      <c r="F38" s="106"/>
      <c r="H38" s="20"/>
      <c r="I38" s="9" t="str">
        <f>compulsory_field_tinstr&amp;" "&amp;maxLength_2500_tinstr</f>
        <v>Kötelezően kitöltendő! Legfeljebb 2500 karakter.</v>
      </c>
    </row>
    <row r="39" spans="1:9" ht="28.8" x14ac:dyDescent="0.3">
      <c r="A39" s="12"/>
      <c r="B39" s="13"/>
      <c r="C39" s="107" t="str">
        <f>project_selected_for_ra_label</f>
        <v>A visszamenőleges hatályú értékelésre kiválasztott projekt</v>
      </c>
      <c r="D39" s="107"/>
      <c r="E39" s="107"/>
      <c r="F39" s="107"/>
      <c r="G39" s="26"/>
      <c r="H39" s="20" t="str">
        <f>compulsory_field_for_some_tinstr</f>
        <v>Azokban a tagállamokban alkalmazandó, ahol a szabályozás megköveteli ezen információ megadását.</v>
      </c>
      <c r="I39" s="9" t="str">
        <f>to_be_filled_in_by_authority_mssg</f>
        <v>Az illetékes hatóság tölti ki!</v>
      </c>
    </row>
    <row r="40" spans="1:9" x14ac:dyDescent="0.3">
      <c r="A40" s="12" t="s">
        <v>25</v>
      </c>
      <c r="B40" s="2" t="str">
        <f>IF(TRIM(D40)="","",VALUE(MID(D40,SEARCH("[", D40)+1,SEARCH("]",D40)-SEARCH("[",D40)-1)))</f>
        <v/>
      </c>
      <c r="C40" s="27" t="str">
        <f>raSelected_label</f>
        <v>visszamenőleges hatályú értékelésre kiválasztott projekt?</v>
      </c>
      <c r="D40" s="28"/>
      <c r="E40" s="108" t="str">
        <f>IF((CONCATENATE(B41,B43,B44,B45,B47)&lt;&gt;"")*AND(B40&lt;&gt;1),inconsistent_value_mssg,"")</f>
        <v/>
      </c>
      <c r="F40" s="108"/>
      <c r="G40" s="15" t="str">
        <f>selection_for_RA</f>
        <v/>
      </c>
      <c r="H40" s="20"/>
      <c r="I40" s="9" t="str">
        <f>IF(G40="*", compulsory_field_tinstr, "")</f>
        <v/>
      </c>
    </row>
    <row r="41" spans="1:9" ht="15" customHeight="1" x14ac:dyDescent="0.3">
      <c r="A41" s="12" t="s">
        <v>26</v>
      </c>
      <c r="B41" s="29" t="str">
        <f>IF(TRIM(D41)="","",D41)</f>
        <v/>
      </c>
      <c r="C41" s="27" t="str">
        <f>raDeadline_label</f>
        <v>A visszamenőleges hatályú értékelés határideje</v>
      </c>
      <c r="D41" s="30"/>
      <c r="E41" s="98" t="s">
        <v>27</v>
      </c>
      <c r="F41" s="98"/>
      <c r="G41" s="31" t="str">
        <f>IF($B$40=1,"*","")</f>
        <v/>
      </c>
      <c r="H41" s="20"/>
      <c r="I41" s="9" t="str">
        <f>IF($B$40=1,compulsory_field_tinstr&amp;" "&amp;date_format_tinstr,"")</f>
        <v/>
      </c>
    </row>
    <row r="42" spans="1:9" x14ac:dyDescent="0.3">
      <c r="A42" s="12"/>
      <c r="B42" s="29"/>
      <c r="C42" s="104" t="str">
        <f>ra_reasons_label</f>
        <v>A visszamenőleges hatályú értékelés indokai</v>
      </c>
      <c r="D42" s="104"/>
      <c r="E42" s="109"/>
      <c r="F42" s="109"/>
      <c r="G42" s="31" t="str">
        <f>IF($B$40=1,"*","")</f>
        <v/>
      </c>
      <c r="H42" s="20"/>
      <c r="I42" s="9" t="str">
        <f>IF($B$40=1,compulsory_field_tinstr&amp;" "&amp; at_least_one_reason_mssg,"")</f>
        <v/>
      </c>
    </row>
    <row r="43" spans="1:9" x14ac:dyDescent="0.3">
      <c r="A43" s="12" t="s">
        <v>28</v>
      </c>
      <c r="B43" s="32" t="str">
        <f>IF(TRIM(F43)="","",VALUE(MID(F43,SEARCH("[", F43)+1,SEARCH("]",F43)-SEARCH("[",F43)-1)))</f>
        <v/>
      </c>
      <c r="C43" s="25"/>
      <c r="D43" s="102" t="str">
        <f>severeProcedure_label</f>
        <v>Súlyos eljárásokat tartalmaz</v>
      </c>
      <c r="E43" s="102"/>
      <c r="F43" s="28"/>
      <c r="G43" s="26"/>
    </row>
    <row r="44" spans="1:9" ht="14.25" customHeight="1" x14ac:dyDescent="0.3">
      <c r="A44" s="12" t="s">
        <v>29</v>
      </c>
      <c r="B44" s="32" t="str">
        <f>IF(TRIM(F44)="","",VALUE(MID(F44,SEARCH("[", F44)+1,SEARCH("]",F44)-SEARCH("[",F44)-1)))</f>
        <v/>
      </c>
      <c r="C44" s="24"/>
      <c r="D44" s="103" t="str">
        <f>nhpUse_label</f>
        <v>Nem emberi főemlősöket használ</v>
      </c>
      <c r="E44" s="103"/>
      <c r="F44" s="28" t="s">
        <v>1</v>
      </c>
      <c r="G44" s="26"/>
    </row>
    <row r="45" spans="1:9" x14ac:dyDescent="0.3">
      <c r="A45" s="12" t="s">
        <v>30</v>
      </c>
      <c r="B45" s="32" t="str">
        <f>IF(TRIM(F45)="","",VALUE(MID(F45,SEARCH("[", F45)+1,SEARCH("]",F45)-SEARCH("[",F45)-1)))</f>
        <v/>
      </c>
      <c r="C45" s="33" t="str">
        <f>IF((B47&lt;&gt;"")*AND(B45&lt;&gt;1),inconsistent_value_mssg,"")</f>
        <v/>
      </c>
      <c r="D45" s="103" t="str">
        <f>other_label</f>
        <v>Egyéb ok</v>
      </c>
      <c r="E45" s="103"/>
      <c r="F45" s="28"/>
      <c r="G45" s="26"/>
    </row>
    <row r="46" spans="1:9" x14ac:dyDescent="0.3">
      <c r="A46" s="12"/>
      <c r="B46" s="32"/>
      <c r="C46" s="104" t="str">
        <f>otherExplanation_label</f>
        <v>A visszamenőleges hatályú értékelés egyéb okának ismertetése</v>
      </c>
      <c r="D46" s="104"/>
      <c r="E46" s="104"/>
      <c r="F46" s="104"/>
      <c r="G46" s="26"/>
      <c r="H46" s="20"/>
    </row>
    <row r="47" spans="1:9" ht="57.45" customHeight="1" x14ac:dyDescent="0.3">
      <c r="A47" s="12" t="s">
        <v>31</v>
      </c>
      <c r="B47" s="21" t="str">
        <f>IF(TRIM(C47)="","",C47)</f>
        <v/>
      </c>
      <c r="C47" s="105"/>
      <c r="D47" s="105"/>
      <c r="E47" s="105"/>
      <c r="F47" s="105"/>
      <c r="G47" s="31" t="str">
        <f>IF($B$45=1,"*","")</f>
        <v/>
      </c>
      <c r="I47" s="20" t="str">
        <f>IF(B45=1, compulsory_field_tinstr&amp;" "&amp;maxLength_500_tinstr, "")</f>
        <v/>
      </c>
    </row>
    <row r="48" spans="1:9" x14ac:dyDescent="0.3">
      <c r="C48" s="101" t="str">
        <f>additional_fields_title</f>
        <v>További mezők</v>
      </c>
      <c r="D48" s="101"/>
      <c r="E48" s="101"/>
      <c r="F48" s="101"/>
      <c r="I48" s="9" t="str">
        <f>additional_fields_tinstr</f>
        <v>Az, hogy egy adott mező alkalmazható-e vagy sem, a nemzeti szabályoktól függ.</v>
      </c>
    </row>
    <row r="49" spans="1:9" ht="31.95" customHeight="1" x14ac:dyDescent="0.3">
      <c r="A49" s="12" t="s">
        <v>32</v>
      </c>
      <c r="B49" s="21" t="str">
        <f t="shared" ref="B49:B60" si="0">IF(TRIM(D49)="","",D49)</f>
        <v/>
      </c>
      <c r="C49" s="27" t="str">
        <f>field1_label</f>
        <v>1. nemzeti mező</v>
      </c>
      <c r="D49" s="100"/>
      <c r="E49" s="100"/>
      <c r="F49" s="100"/>
      <c r="H49" s="20"/>
      <c r="I49" s="9" t="str">
        <f>not_published_instr&amp;" "&amp;maxLength_2500_tinstr</f>
        <v>A mezőt nem tesszük közzé. Legfeljebb 2500 karakter.</v>
      </c>
    </row>
    <row r="50" spans="1:9" ht="31.5" customHeight="1" x14ac:dyDescent="0.3">
      <c r="A50" s="12" t="s">
        <v>33</v>
      </c>
      <c r="B50" s="21" t="str">
        <f t="shared" si="0"/>
        <v/>
      </c>
      <c r="C50" s="27" t="str">
        <f>field2_label</f>
        <v>2. nemzeti mező</v>
      </c>
      <c r="D50" s="100"/>
      <c r="E50" s="100"/>
      <c r="F50" s="100"/>
      <c r="H50" s="20"/>
      <c r="I50" s="9" t="str">
        <f>not_published_instr&amp;" "&amp;maxLength_2500_tinstr</f>
        <v>A mezőt nem tesszük közzé. Legfeljebb 2500 karakter.</v>
      </c>
    </row>
    <row r="51" spans="1:9" ht="30.45" customHeight="1" x14ac:dyDescent="0.3">
      <c r="A51" s="12" t="s">
        <v>34</v>
      </c>
      <c r="B51" s="21" t="str">
        <f t="shared" si="0"/>
        <v/>
      </c>
      <c r="C51" s="27" t="str">
        <f>field3_label</f>
        <v>3. nemzeti mező</v>
      </c>
      <c r="D51" s="100"/>
      <c r="E51" s="100"/>
      <c r="F51" s="100"/>
      <c r="H51" s="20"/>
      <c r="I51" s="9" t="str">
        <f>not_published_instr&amp;" "&amp;maxLength_2500_tinstr</f>
        <v>A mezőt nem tesszük közzé. Legfeljebb 2500 karakter.</v>
      </c>
    </row>
    <row r="52" spans="1:9" ht="30.45" customHeight="1" x14ac:dyDescent="0.3">
      <c r="A52" s="12" t="s">
        <v>35</v>
      </c>
      <c r="B52" s="21" t="str">
        <f t="shared" si="0"/>
        <v/>
      </c>
      <c r="C52" s="27" t="str">
        <f>field4_label</f>
        <v>4. nemzeti mező</v>
      </c>
      <c r="D52" s="100"/>
      <c r="E52" s="100"/>
      <c r="F52" s="100"/>
      <c r="H52" s="20"/>
      <c r="I52" s="9" t="str">
        <f>not_published_instr&amp;" "&amp;maxLength_2500_tinstr</f>
        <v>A mezőt nem tesszük közzé. Legfeljebb 2500 karakter.</v>
      </c>
    </row>
    <row r="53" spans="1:9" ht="30.45" customHeight="1" x14ac:dyDescent="0.3">
      <c r="A53" s="12" t="s">
        <v>36</v>
      </c>
      <c r="B53" s="21" t="str">
        <f t="shared" si="0"/>
        <v/>
      </c>
      <c r="C53" s="27" t="str">
        <f>field5_label</f>
        <v>5. nemzeti mező</v>
      </c>
      <c r="D53" s="100"/>
      <c r="E53" s="100"/>
      <c r="F53" s="100"/>
      <c r="H53" s="20"/>
      <c r="I53" s="9" t="str">
        <f>not_published_instr&amp;" "&amp;maxLength_2500_tinstr</f>
        <v>A mezőt nem tesszük közzé. Legfeljebb 2500 karakter.</v>
      </c>
    </row>
    <row r="54" spans="1:9" ht="15" customHeight="1" x14ac:dyDescent="0.3">
      <c r="A54" s="12" t="s">
        <v>37</v>
      </c>
      <c r="B54" s="29" t="str">
        <f t="shared" si="0"/>
        <v/>
      </c>
      <c r="C54" s="27" t="str">
        <f>projectStartDate_label</f>
        <v>A projekt indulásának időpontja</v>
      </c>
      <c r="D54" s="30"/>
      <c r="E54" s="98" t="s">
        <v>27</v>
      </c>
      <c r="F54" s="98"/>
      <c r="G54" s="26" t="str">
        <f>project_start_end_date</f>
        <v/>
      </c>
      <c r="H54" s="20"/>
      <c r="I54" s="9" t="str">
        <f>not_published_instr&amp;" "&amp;date_format_tinstr</f>
        <v>A mezőt nem tesszük közzé. A formátum a rendszer beállításaitól függően nn-hh-éééé vagy nn/hh/éééé (pl. 27-05-2022 vagy 27/05/2022).</v>
      </c>
    </row>
    <row r="55" spans="1:9" ht="15" customHeight="1" x14ac:dyDescent="0.3">
      <c r="A55" s="12" t="s">
        <v>38</v>
      </c>
      <c r="B55" s="29" t="str">
        <f t="shared" si="0"/>
        <v/>
      </c>
      <c r="C55" s="27" t="str">
        <f>projectEndDate_label</f>
        <v>A projekt végének időpontja</v>
      </c>
      <c r="D55" s="30"/>
      <c r="E55" s="98" t="s">
        <v>27</v>
      </c>
      <c r="F55" s="98"/>
      <c r="G55" s="26" t="str">
        <f>project_start_end_date</f>
        <v/>
      </c>
      <c r="H55" s="20"/>
      <c r="I55" s="9" t="str">
        <f>not_published_instr&amp;" "&amp;date_format_tinstr</f>
        <v>A mezőt nem tesszük közzé. A formátum a rendszer beállításaitól függően nn-hh-éééé vagy nn/hh/éééé (pl. 27-05-2022 vagy 27/05/2022).</v>
      </c>
    </row>
    <row r="56" spans="1:9" ht="15" customHeight="1" x14ac:dyDescent="0.3">
      <c r="A56" s="12" t="s">
        <v>39</v>
      </c>
      <c r="B56" s="29" t="str">
        <f t="shared" si="0"/>
        <v/>
      </c>
      <c r="C56" s="27" t="str">
        <f>projectApprovalDate_label</f>
        <v>A projekt jóváhagyásának időpontja</v>
      </c>
      <c r="D56" s="30"/>
      <c r="E56" s="98" t="s">
        <v>27</v>
      </c>
      <c r="F56" s="98"/>
      <c r="G56" s="26" t="str">
        <f>project_approval_date</f>
        <v/>
      </c>
      <c r="H56" s="20"/>
      <c r="I56" s="9" t="str">
        <f>not_published_instr&amp;" "&amp;to_be_filled_in_by_authority_mssg&amp;" "&amp;date_format_tinstr</f>
        <v>A mezőt nem tesszük közzé. Az illetékes hatóság tölti ki! A formátum a rendszer beállításaitól függően nn-hh-éééé vagy nn/hh/éééé (pl. 27-05-2022 vagy 27/05/2022).</v>
      </c>
    </row>
    <row r="57" spans="1:9" ht="15" customHeight="1" x14ac:dyDescent="0.3">
      <c r="A57" s="12" t="s">
        <v>40</v>
      </c>
      <c r="B57" s="13" t="str">
        <f t="shared" si="0"/>
        <v/>
      </c>
      <c r="C57" s="27" t="str">
        <f>ICD_code_label &amp; " 1"</f>
        <v>BNO-kód 1</v>
      </c>
      <c r="D57" s="17"/>
      <c r="E57" s="98" t="s">
        <v>27</v>
      </c>
      <c r="F57" s="98"/>
      <c r="G57" s="26"/>
      <c r="H57" s="20"/>
      <c r="I57" s="9" t="str">
        <f>not_published_instr&amp;" "&amp;ICD_code_instr&amp;" "&amp;ICD_code_tinstr</f>
        <v>A mezőt nem tesszük közzé. A Betegségek Nemzetközi Osztályozási Rendszerében (BNO) használt kód. 4 karakterből álló pontosságáig.</v>
      </c>
    </row>
    <row r="58" spans="1:9" ht="15" customHeight="1" x14ac:dyDescent="0.3">
      <c r="A58" s="12" t="s">
        <v>41</v>
      </c>
      <c r="B58" s="13" t="str">
        <f t="shared" si="0"/>
        <v/>
      </c>
      <c r="C58" s="27" t="str">
        <f>ICD_code_label &amp; " 2"</f>
        <v>BNO-kód 2</v>
      </c>
      <c r="D58" s="17"/>
      <c r="E58" s="98" t="s">
        <v>27</v>
      </c>
      <c r="F58" s="98"/>
      <c r="G58" s="26"/>
      <c r="H58" s="20"/>
      <c r="I58" s="9" t="str">
        <f>not_published_instr&amp;" "&amp;ICD_code_instr&amp;" "&amp;ICD_code_tinstr</f>
        <v>A mezőt nem tesszük közzé. A Betegségek Nemzetközi Osztályozási Rendszerében (BNO) használt kód. 4 karakterből álló pontosságáig.</v>
      </c>
    </row>
    <row r="59" spans="1:9" ht="15" customHeight="1" x14ac:dyDescent="0.3">
      <c r="A59" s="12" t="s">
        <v>42</v>
      </c>
      <c r="B59" s="13" t="str">
        <f t="shared" si="0"/>
        <v/>
      </c>
      <c r="C59" s="27" t="str">
        <f>ICD_code_label &amp; " 3"</f>
        <v>BNO-kód 3</v>
      </c>
      <c r="D59" s="17"/>
      <c r="E59" s="98" t="s">
        <v>27</v>
      </c>
      <c r="F59" s="98"/>
      <c r="G59" s="26"/>
      <c r="H59" s="20"/>
      <c r="I59" s="9" t="str">
        <f>not_published_instr&amp;" "&amp;ICD_code_instr&amp;" "&amp;ICD_code_tinstr</f>
        <v>A mezőt nem tesszük közzé. A Betegségek Nemzetközi Osztályozási Rendszerében (BNO) használt kód. 4 karakterből álló pontosságáig.</v>
      </c>
    </row>
    <row r="60" spans="1:9" ht="28.95" customHeight="1" x14ac:dyDescent="0.3">
      <c r="A60" s="12" t="s">
        <v>43</v>
      </c>
      <c r="B60" s="21" t="str">
        <f t="shared" si="0"/>
        <v/>
      </c>
      <c r="C60" s="34" t="str">
        <f>ntsPreviousVersionExternalLink_label</f>
        <v>Link a nem szakmai projekt-összefoglalónak – az Európai Bizottság rendszerében nem szereplő – előző verziójához</v>
      </c>
      <c r="D60" s="99"/>
      <c r="E60" s="99"/>
      <c r="F60" s="99"/>
      <c r="H60" s="20"/>
      <c r="I60" s="9" t="str">
        <f>ntsPreviousVersionExternalLink_instr&amp;" "&amp;maxLength_500_tinstr</f>
        <v>Átmeneti időszakban alkalmazandó abban az esetben, ha a nem szakmai projekt-összefoglaló előző verziója még nem szerepel az Európai Bizottság rendszerében. Legfeljebb 500 karakter.</v>
      </c>
    </row>
  </sheetData>
  <sheetProtection algorithmName="SHA-512" hashValue="uDRICOBZCuVnYo1zba7I+lEJCMUj7Q3r9qPhw/PKfmXJtluuqwrFNbJg4N634cYqvA7GIesGIR4ciVvmBpplqg==" saltValue="P7ElXQfm8iQ58E/p0Ibm1g==" spinCount="100000" sheet="1" selectLockedCells="1"/>
  <mergeCells count="59">
    <mergeCell ref="C1:F1"/>
    <mergeCell ref="E2:F4"/>
    <mergeCell ref="D5:F5"/>
    <mergeCell ref="D6:E6"/>
    <mergeCell ref="D7:F7"/>
    <mergeCell ref="E8:F8"/>
    <mergeCell ref="C9:F9"/>
    <mergeCell ref="D10:F10"/>
    <mergeCell ref="D11:F11"/>
    <mergeCell ref="D12:F12"/>
    <mergeCell ref="D13:F13"/>
    <mergeCell ref="D14:F14"/>
    <mergeCell ref="C15:F15"/>
    <mergeCell ref="C16:G16"/>
    <mergeCell ref="C17:F17"/>
    <mergeCell ref="C18:F18"/>
    <mergeCell ref="C19:F19"/>
    <mergeCell ref="C20:F20"/>
    <mergeCell ref="C21:G21"/>
    <mergeCell ref="C22:F22"/>
    <mergeCell ref="C23:F23"/>
    <mergeCell ref="C24:F24"/>
    <mergeCell ref="C25:F25"/>
    <mergeCell ref="C26:F26"/>
    <mergeCell ref="C27:F27"/>
    <mergeCell ref="C28:F28"/>
    <mergeCell ref="C29:F29"/>
    <mergeCell ref="C30:G30"/>
    <mergeCell ref="C31:F31"/>
    <mergeCell ref="C32:F32"/>
    <mergeCell ref="C33:F33"/>
    <mergeCell ref="C34:F34"/>
    <mergeCell ref="C35:F35"/>
    <mergeCell ref="C36:F36"/>
    <mergeCell ref="C37:F37"/>
    <mergeCell ref="C38:F38"/>
    <mergeCell ref="C39:F39"/>
    <mergeCell ref="E40:F40"/>
    <mergeCell ref="E41:F41"/>
    <mergeCell ref="C42:D42"/>
    <mergeCell ref="E42:F42"/>
    <mergeCell ref="D43:E43"/>
    <mergeCell ref="D44:E44"/>
    <mergeCell ref="D45:E45"/>
    <mergeCell ref="C46:F46"/>
    <mergeCell ref="C47:F47"/>
    <mergeCell ref="C48:F48"/>
    <mergeCell ref="D49:F49"/>
    <mergeCell ref="D50:F50"/>
    <mergeCell ref="D51:F51"/>
    <mergeCell ref="D52:F52"/>
    <mergeCell ref="E58:F58"/>
    <mergeCell ref="E59:F59"/>
    <mergeCell ref="D60:F60"/>
    <mergeCell ref="D53:F53"/>
    <mergeCell ref="E54:F54"/>
    <mergeCell ref="E55:F55"/>
    <mergeCell ref="E56:F56"/>
    <mergeCell ref="E57:F57"/>
  </mergeCells>
  <conditionalFormatting sqref="D5:F5 C18 D2:D4 D8">
    <cfRule type="expression" dxfId="25" priority="2">
      <formula>LEN(TRIM(C18))=0</formula>
    </cfRule>
  </conditionalFormatting>
  <conditionalFormatting sqref="C20">
    <cfRule type="expression" dxfId="24" priority="3">
      <formula>LEN(TRIM(C20))=0</formula>
    </cfRule>
  </conditionalFormatting>
  <conditionalFormatting sqref="C23">
    <cfRule type="expression" dxfId="23" priority="4">
      <formula>LEN(TRIM(C23))=0</formula>
    </cfRule>
  </conditionalFormatting>
  <conditionalFormatting sqref="C25">
    <cfRule type="expression" dxfId="22" priority="5">
      <formula>LEN(TRIM(C25))=0</formula>
    </cfRule>
  </conditionalFormatting>
  <conditionalFormatting sqref="C29">
    <cfRule type="expression" dxfId="21" priority="6">
      <formula>LEN(TRIM(C29))=0</formula>
    </cfRule>
  </conditionalFormatting>
  <conditionalFormatting sqref="C32">
    <cfRule type="expression" dxfId="20" priority="7">
      <formula>LEN(TRIM(C32))=0</formula>
    </cfRule>
  </conditionalFormatting>
  <conditionalFormatting sqref="C34">
    <cfRule type="expression" dxfId="19" priority="8">
      <formula>LEN(TRIM(C34))=0</formula>
    </cfRule>
  </conditionalFormatting>
  <conditionalFormatting sqref="C36">
    <cfRule type="expression" dxfId="18" priority="9">
      <formula>LEN(TRIM(C36))=0</formula>
    </cfRule>
  </conditionalFormatting>
  <conditionalFormatting sqref="C38">
    <cfRule type="expression" dxfId="17" priority="10">
      <formula>LEN(TRIM(C38))=0</formula>
    </cfRule>
  </conditionalFormatting>
  <conditionalFormatting sqref="E42">
    <cfRule type="expression" dxfId="16" priority="11">
      <formula>LEN(TRIM(E42))=0</formula>
    </cfRule>
  </conditionalFormatting>
  <conditionalFormatting sqref="D45:E45">
    <cfRule type="expression" dxfId="15" priority="12">
      <formula>$B$45=1</formula>
    </cfRule>
  </conditionalFormatting>
  <conditionalFormatting sqref="D44:E44">
    <cfRule type="expression" dxfId="14" priority="13">
      <formula>$B$44=1</formula>
    </cfRule>
  </conditionalFormatting>
  <conditionalFormatting sqref="D43:E43">
    <cfRule type="expression" dxfId="13" priority="14">
      <formula>$B$43=1</formula>
    </cfRule>
  </conditionalFormatting>
  <conditionalFormatting sqref="E40:F40">
    <cfRule type="expression" dxfId="12" priority="15">
      <formula>LEN(TRIM(E40))=0</formula>
    </cfRule>
  </conditionalFormatting>
  <conditionalFormatting sqref="C47:F47">
    <cfRule type="expression" dxfId="11" priority="16">
      <formula>AND(B47="",B45=1)</formula>
    </cfRule>
  </conditionalFormatting>
  <conditionalFormatting sqref="C45">
    <cfRule type="expression" dxfId="10" priority="17">
      <formula>AND(B47&lt;&gt;"",B45&lt;&gt;1)</formula>
    </cfRule>
  </conditionalFormatting>
  <conditionalFormatting sqref="D40">
    <cfRule type="expression" dxfId="9" priority="18">
      <formula>AND($G$40="*",$D$40="")</formula>
    </cfRule>
  </conditionalFormatting>
  <conditionalFormatting sqref="D41">
    <cfRule type="expression" dxfId="8" priority="19">
      <formula>AND($D$41="",$B$40=1)</formula>
    </cfRule>
  </conditionalFormatting>
  <conditionalFormatting sqref="D10:F10">
    <cfRule type="expression" dxfId="7" priority="20">
      <formula>LEN(TRIM(D10))=0</formula>
    </cfRule>
  </conditionalFormatting>
  <dataValidations count="15">
    <dataValidation type="list" allowBlank="1" showInputMessage="1" showErrorMessage="1" sqref="D3" xr:uid="{00000000-0002-0000-0000-000000000000}">
      <formula1>languages</formula1>
      <formula2>0</formula2>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formula1>0</formula1>
      <formula2>0</formula2>
    </dataValidation>
    <dataValidation type="list" showInputMessage="1" showErrorMessage="1" sqref="F43:F45" xr:uid="{00000000-0002-0000-0000-000003000000}">
      <formula1>choice_optional</formula1>
      <formula2>0</formula2>
    </dataValidation>
    <dataValidation type="list" allowBlank="1" showInputMessage="1" showErrorMessage="1" sqref="D2" xr:uid="{00000000-0002-0000-0000-000004000000}">
      <formula1>countries</formula1>
      <formula2>0</formula2>
    </dataValidation>
    <dataValidation type="date" operator="greaterThan" allowBlank="1" showInputMessage="1" showErrorMessage="1" sqref="D41 D54:D56" xr:uid="{00000000-0002-0000-0000-000005000000}">
      <formula1>1</formula1>
      <formula2>0</formula2>
    </dataValidation>
    <dataValidation type="textLength" operator="lessThanOrEqual" allowBlank="1" showInputMessage="1" showErrorMessage="1" error="Maximum length is 4 characters!" sqref="D57:D59" xr:uid="{00000000-0002-0000-0000-000006000000}">
      <formula1>4</formula1>
      <formula2>0</formula2>
    </dataValidation>
    <dataValidation type="textLength" operator="lessThanOrEqual" allowBlank="1" showInputMessage="1" showErrorMessage="1" error="Maximum length of keyword is 50 characters!" sqref="D10:F14" xr:uid="{00000000-0002-0000-0000-000007000000}">
      <formula1>50</formula1>
      <formula2>0</formula2>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formula2>0</formula2>
    </dataValidation>
    <dataValidation type="textLength" operator="lessThanOrEqual" allowBlank="1" showInputMessage="1" showErrorMessage="1" error="Maximum length is 500 characters!" sqref="D7:F7 C47:F47 D60:F60" xr:uid="{00000000-0002-0000-0000-00000A000000}">
      <formula1>500</formula1>
      <formula2>0</formula2>
    </dataValidation>
    <dataValidation showInputMessage="1" showErrorMessage="1" sqref="C26:C27 D27:F27" xr:uid="{00000000-0002-0000-0000-00000B000000}">
      <formula1>0</formula1>
      <formula2>0</formula2>
    </dataValidation>
    <dataValidation type="textLength" allowBlank="1" showInputMessage="1" showErrorMessage="1" error="Maximum length of title is 500 characters!" sqref="D5:F5 D6 F6"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formula2>0</formula2>
    </dataValidation>
    <dataValidation type="list" allowBlank="1" showInputMessage="1" showErrorMessage="1" sqref="D4" xr:uid="{00000000-0002-0000-0000-00000E000000}">
      <formula1>choice_mandatory</formula1>
      <formula2>0</formula2>
    </dataValidation>
  </dataValidations>
  <pageMargins left="0.7" right="0.7" top="0.75" bottom="0.75" header="0.51180555555555496" footer="0.51180555555555496"/>
  <pageSetup firstPageNumber="0"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zoomScaleNormal="100" workbookViewId="0">
      <selection activeCell="A3" sqref="A3"/>
    </sheetView>
  </sheetViews>
  <sheetFormatPr defaultRowHeight="14.4" x14ac:dyDescent="0.3"/>
  <cols>
    <col min="1" max="1" width="108.33203125" customWidth="1"/>
    <col min="2" max="1025" width="8.6640625" customWidth="1"/>
  </cols>
  <sheetData>
    <row r="1" spans="1:1" ht="23.4" x14ac:dyDescent="0.3">
      <c r="A1" s="35" t="str">
        <f>projectPurposes_label</f>
        <v>A projekt  célja(i)</v>
      </c>
    </row>
    <row r="2" spans="1:1" ht="15" hidden="1" customHeight="1" x14ac:dyDescent="0.3">
      <c r="A2" s="36" t="s">
        <v>44</v>
      </c>
    </row>
    <row r="3" spans="1:1" x14ac:dyDescent="0.3">
      <c r="A3" s="37"/>
    </row>
    <row r="4" spans="1:1" x14ac:dyDescent="0.3">
      <c r="A4" s="37"/>
    </row>
    <row r="5" spans="1:1" x14ac:dyDescent="0.3">
      <c r="A5" s="37"/>
    </row>
    <row r="6" spans="1:1" x14ac:dyDescent="0.3">
      <c r="A6" s="37"/>
    </row>
    <row r="7" spans="1:1" x14ac:dyDescent="0.3">
      <c r="A7" s="37"/>
    </row>
    <row r="8" spans="1:1" x14ac:dyDescent="0.3">
      <c r="A8" s="37"/>
    </row>
    <row r="9" spans="1:1" x14ac:dyDescent="0.3">
      <c r="A9" s="37"/>
    </row>
    <row r="10" spans="1:1" x14ac:dyDescent="0.3">
      <c r="A10" s="37"/>
    </row>
    <row r="11" spans="1:1" x14ac:dyDescent="0.3">
      <c r="A11" s="37"/>
    </row>
    <row r="12" spans="1:1" x14ac:dyDescent="0.3">
      <c r="A12" s="37"/>
    </row>
    <row r="13" spans="1:1" x14ac:dyDescent="0.3">
      <c r="A13" s="37"/>
    </row>
    <row r="14" spans="1:1" x14ac:dyDescent="0.3">
      <c r="A14" s="37"/>
    </row>
    <row r="15" spans="1:1" x14ac:dyDescent="0.3">
      <c r="A15" s="37"/>
    </row>
    <row r="16" spans="1:1" x14ac:dyDescent="0.3">
      <c r="A16" s="37"/>
    </row>
    <row r="17" spans="1:1" x14ac:dyDescent="0.3">
      <c r="A17" s="37"/>
    </row>
    <row r="18" spans="1:1" x14ac:dyDescent="0.3">
      <c r="A18" s="37"/>
    </row>
    <row r="19" spans="1:1" x14ac:dyDescent="0.3">
      <c r="A19" s="37"/>
    </row>
    <row r="20" spans="1:1" x14ac:dyDescent="0.3">
      <c r="A20" s="37"/>
    </row>
    <row r="21" spans="1:1" x14ac:dyDescent="0.3">
      <c r="A21" s="37"/>
    </row>
    <row r="22" spans="1:1" x14ac:dyDescent="0.3">
      <c r="A22" s="37"/>
    </row>
    <row r="23" spans="1:1" x14ac:dyDescent="0.3">
      <c r="A23" s="37"/>
    </row>
    <row r="24" spans="1:1" x14ac:dyDescent="0.3">
      <c r="A24" s="37"/>
    </row>
    <row r="25" spans="1:1" x14ac:dyDescent="0.3">
      <c r="A25" s="37"/>
    </row>
    <row r="26" spans="1:1" x14ac:dyDescent="0.3">
      <c r="A26" s="37"/>
    </row>
    <row r="27" spans="1:1" x14ac:dyDescent="0.3">
      <c r="A27" s="37"/>
    </row>
    <row r="28" spans="1:1" x14ac:dyDescent="0.3">
      <c r="A28" s="37"/>
    </row>
    <row r="29" spans="1:1" x14ac:dyDescent="0.3">
      <c r="A29" s="37"/>
    </row>
    <row r="30" spans="1:1" x14ac:dyDescent="0.3">
      <c r="A30" s="37"/>
    </row>
    <row r="31" spans="1:1" x14ac:dyDescent="0.3">
      <c r="A31" s="37"/>
    </row>
    <row r="32" spans="1:1" x14ac:dyDescent="0.3">
      <c r="A32" s="37"/>
    </row>
    <row r="33" spans="1:1" x14ac:dyDescent="0.3">
      <c r="A33" s="37"/>
    </row>
    <row r="34" spans="1:1" x14ac:dyDescent="0.3">
      <c r="A34" s="37"/>
    </row>
    <row r="35" spans="1:1" x14ac:dyDescent="0.3">
      <c r="A35" s="37"/>
    </row>
    <row r="36" spans="1:1" x14ac:dyDescent="0.3">
      <c r="A36" s="37"/>
    </row>
    <row r="37" spans="1:1" x14ac:dyDescent="0.3">
      <c r="A37" s="37"/>
    </row>
    <row r="38" spans="1:1" x14ac:dyDescent="0.3">
      <c r="A38" s="37"/>
    </row>
    <row r="39" spans="1:1" x14ac:dyDescent="0.3">
      <c r="A39" s="37"/>
    </row>
    <row r="40" spans="1:1" x14ac:dyDescent="0.3">
      <c r="A40" s="37"/>
    </row>
    <row r="41" spans="1:1" x14ac:dyDescent="0.3">
      <c r="A41" s="37"/>
    </row>
    <row r="42" spans="1:1" x14ac:dyDescent="0.3">
      <c r="A42" s="37"/>
    </row>
    <row r="43" spans="1:1" x14ac:dyDescent="0.3">
      <c r="A43" s="37"/>
    </row>
    <row r="44" spans="1:1" x14ac:dyDescent="0.3">
      <c r="A44" s="37"/>
    </row>
    <row r="45" spans="1:1" x14ac:dyDescent="0.3">
      <c r="A45" s="37"/>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6" priority="2"/>
  </conditionalFormatting>
  <dataValidations count="1">
    <dataValidation type="list" allowBlank="1" showInputMessage="1" showErrorMessage="1" sqref="A3:A45" xr:uid="{00000000-0002-0000-0100-000000000000}">
      <formula1>purposeShown</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43"/>
  <sheetViews>
    <sheetView zoomScaleNormal="100" workbookViewId="0">
      <selection activeCell="A4" sqref="A4"/>
    </sheetView>
  </sheetViews>
  <sheetFormatPr defaultRowHeight="14.4" x14ac:dyDescent="0.3"/>
  <cols>
    <col min="1" max="1" width="68" style="38" customWidth="1"/>
    <col min="2" max="2" width="16.5546875" style="38" customWidth="1"/>
    <col min="3" max="3" width="15" style="38" customWidth="1"/>
    <col min="4" max="4" width="14.5546875" style="39" customWidth="1"/>
    <col min="5" max="5" width="14.33203125" style="39" customWidth="1"/>
    <col min="6" max="6" width="18.33203125" style="39" hidden="1" customWidth="1"/>
    <col min="7" max="7" width="32.88671875" style="40" customWidth="1"/>
    <col min="8" max="8" width="54.33203125" style="39" customWidth="1"/>
    <col min="9" max="1025" width="9" style="39" customWidth="1"/>
  </cols>
  <sheetData>
    <row r="1" spans="1:8" ht="29.25" customHeight="1" x14ac:dyDescent="0.45">
      <c r="A1" s="35" t="str">
        <f>expectedHarms_label</f>
        <v>Várható ártalmak</v>
      </c>
      <c r="B1" s="122" t="str">
        <f>numbers_per_severity_label</f>
        <v>Becsült számok súlyosságonként</v>
      </c>
      <c r="C1" s="122"/>
      <c r="D1" s="122"/>
      <c r="E1" s="122"/>
      <c r="F1" s="41"/>
      <c r="G1" s="42"/>
    </row>
    <row r="2" spans="1:8" ht="75" customHeight="1" x14ac:dyDescent="0.3">
      <c r="A2" s="43" t="str">
        <f>species_label</f>
        <v>Faj</v>
      </c>
      <c r="B2" s="44" t="str">
        <f>nonRecovery_label</f>
        <v>Érzéstelenítéses-túlaltatásos</v>
      </c>
      <c r="C2" s="44" t="str">
        <f>mild_label</f>
        <v>Enyhe</v>
      </c>
      <c r="D2" s="44" t="str">
        <f>moderate_label</f>
        <v>Mérsékelt</v>
      </c>
      <c r="E2" s="44" t="str">
        <f>severe_label</f>
        <v>Súlyos</v>
      </c>
      <c r="F2" s="44" t="str">
        <f>custom_severity_label</f>
        <v>A tagállam besorolása szerinti súlyosság</v>
      </c>
    </row>
    <row r="3" spans="1:8" ht="13.5" hidden="1" customHeight="1" x14ac:dyDescent="0.3">
      <c r="A3" s="36" t="s">
        <v>45</v>
      </c>
      <c r="B3" s="45" t="s">
        <v>46</v>
      </c>
      <c r="C3" s="45" t="s">
        <v>47</v>
      </c>
      <c r="D3" s="45" t="s">
        <v>48</v>
      </c>
      <c r="E3" s="45" t="s">
        <v>49</v>
      </c>
      <c r="F3" s="45" t="s">
        <v>50</v>
      </c>
    </row>
    <row r="4" spans="1:8" x14ac:dyDescent="0.3">
      <c r="A4" s="37"/>
      <c r="B4" s="46">
        <v>12</v>
      </c>
      <c r="C4" s="47">
        <v>40</v>
      </c>
      <c r="D4" s="47">
        <v>10</v>
      </c>
      <c r="E4" s="47">
        <v>0</v>
      </c>
      <c r="F4" s="47"/>
      <c r="G4" s="40" t="str">
        <f>IF(AND(expected_severities[[#This Row],[xs:species]]&lt;&gt;"",SUM(expected_severities[[#This Row],[xs:nonRecovery]:[xs:custom]])=0),total_number_mssg,IF(AND(expected_severities[[#This Row],[xs:species]]="",SUM(expected_severities[[#This Row],[xs:nonRecovery]:[xs:custom]])&gt;0),select_species_mssg,""))</f>
        <v>A fajokat ki kell választani!</v>
      </c>
      <c r="H4" s="40" t="str">
        <f>IF(AND(expected_severities[[#This Row],[xs:species]]&lt;&gt;"",OR(expected_severities[[#This Row],[xs:nonRecovery]]="",expected_severities[[#This Row],[xs:mild]]="",expected_severities[[#This Row],[xs:moderate]]="",expected_severities[[#This Row],[xs:severe]]="")),fill_all_cells_mssg,"")</f>
        <v/>
      </c>
    </row>
    <row r="5" spans="1:8" x14ac:dyDescent="0.3">
      <c r="A5" s="37"/>
      <c r="B5" s="46"/>
      <c r="C5" s="47"/>
      <c r="D5" s="47"/>
      <c r="E5" s="47"/>
      <c r="F5" s="47"/>
      <c r="G5" s="40" t="str">
        <f>IF(AND(expected_severities[[#This Row],[xs:species]]&lt;&gt;"",SUM(expected_severities[[#This Row],[xs:nonRecovery]:[xs:custom]])=0),total_number_mssg,IF(AND(expected_severities[[#This Row],[xs:species]]="",SUM(expected_severities[[#This Row],[xs:nonRecovery]:[xs:custom]])&gt;0),select_species_mssg,""))</f>
        <v/>
      </c>
      <c r="H5" s="40" t="str">
        <f>IF(AND(expected_severities[[#This Row],[xs:species]]&lt;&gt;"",OR(expected_severities[[#This Row],[xs:nonRecovery]]="",expected_severities[[#This Row],[xs:mild]]="",expected_severities[[#This Row],[xs:moderate]]="",expected_severities[[#This Row],[xs:severe]]="")),fill_all_cells_mssg,"")</f>
        <v/>
      </c>
    </row>
    <row r="6" spans="1:8" x14ac:dyDescent="0.3">
      <c r="A6" s="37"/>
      <c r="B6" s="46"/>
      <c r="C6" s="47"/>
      <c r="D6" s="47"/>
      <c r="E6" s="47"/>
      <c r="F6" s="47"/>
      <c r="G6" s="40" t="str">
        <f>IF(AND(expected_severities[[#This Row],[xs:species]]&lt;&gt;"",SUM(expected_severities[[#This Row],[xs:nonRecovery]:[xs:custom]])=0),total_number_mssg,IF(AND(expected_severities[[#This Row],[xs:species]]="",SUM(expected_severities[[#This Row],[xs:nonRecovery]:[xs:custom]])&gt;0),select_species_mssg,""))</f>
        <v/>
      </c>
      <c r="H6" s="40" t="str">
        <f>IF(AND(expected_severities[[#This Row],[xs:species]]&lt;&gt;"",OR(expected_severities[[#This Row],[xs:nonRecovery]]="",expected_severities[[#This Row],[xs:mild]]="",expected_severities[[#This Row],[xs:moderate]]="",expected_severities[[#This Row],[xs:severe]]="")),fill_all_cells_mssg,"")</f>
        <v/>
      </c>
    </row>
    <row r="7" spans="1:8" x14ac:dyDescent="0.3">
      <c r="A7" s="37"/>
      <c r="B7" s="46"/>
      <c r="C7" s="47"/>
      <c r="D7" s="47"/>
      <c r="E7" s="47"/>
      <c r="F7" s="47"/>
      <c r="G7" s="40" t="str">
        <f>IF(AND(expected_severities[[#This Row],[xs:species]]&lt;&gt;"",SUM(expected_severities[[#This Row],[xs:nonRecovery]:[xs:custom]])=0),total_number_mssg,IF(AND(expected_severities[[#This Row],[xs:species]]="",SUM(expected_severities[[#This Row],[xs:nonRecovery]:[xs:custom]])&gt;0),select_species_mssg,""))</f>
        <v/>
      </c>
      <c r="H7" s="40" t="str">
        <f>IF(AND(expected_severities[[#This Row],[xs:species]]&lt;&gt;"",OR(expected_severities[[#This Row],[xs:nonRecovery]]="",expected_severities[[#This Row],[xs:mild]]="",expected_severities[[#This Row],[xs:moderate]]="",expected_severities[[#This Row],[xs:severe]]="")),fill_all_cells_mssg,"")</f>
        <v/>
      </c>
    </row>
    <row r="8" spans="1:8" x14ac:dyDescent="0.3">
      <c r="A8" s="37"/>
      <c r="B8" s="46"/>
      <c r="C8" s="47"/>
      <c r="D8" s="47"/>
      <c r="E8" s="47"/>
      <c r="F8" s="47"/>
      <c r="G8" s="40" t="str">
        <f>IF(AND(expected_severities[[#This Row],[xs:species]]&lt;&gt;"",SUM(expected_severities[[#This Row],[xs:nonRecovery]:[xs:custom]])=0),total_number_mssg,IF(AND(expected_severities[[#This Row],[xs:species]]="",SUM(expected_severities[[#This Row],[xs:nonRecovery]:[xs:custom]])&gt;0),select_species_mssg,""))</f>
        <v/>
      </c>
      <c r="H8" s="40" t="str">
        <f>IF(AND(expected_severities[[#This Row],[xs:species]]&lt;&gt;"",OR(expected_severities[[#This Row],[xs:nonRecovery]]="",expected_severities[[#This Row],[xs:mild]]="",expected_severities[[#This Row],[xs:moderate]]="",expected_severities[[#This Row],[xs:severe]]="")),fill_all_cells_mssg,"")</f>
        <v/>
      </c>
    </row>
    <row r="9" spans="1:8" x14ac:dyDescent="0.3">
      <c r="A9" s="37"/>
      <c r="B9" s="46"/>
      <c r="C9" s="47"/>
      <c r="D9" s="47"/>
      <c r="E9" s="47"/>
      <c r="F9" s="47"/>
      <c r="G9" s="40" t="str">
        <f>IF(AND(expected_severities[[#This Row],[xs:species]]&lt;&gt;"",SUM(expected_severities[[#This Row],[xs:nonRecovery]:[xs:custom]])=0),total_number_mssg,IF(AND(expected_severities[[#This Row],[xs:species]]="",SUM(expected_severities[[#This Row],[xs:nonRecovery]:[xs:custom]])&gt;0),select_species_mssg,""))</f>
        <v/>
      </c>
      <c r="H9" s="40" t="str">
        <f>IF(AND(expected_severities[[#This Row],[xs:species]]&lt;&gt;"",OR(expected_severities[[#This Row],[xs:nonRecovery]]="",expected_severities[[#This Row],[xs:mild]]="",expected_severities[[#This Row],[xs:moderate]]="",expected_severities[[#This Row],[xs:severe]]="")),fill_all_cells_mssg,"")</f>
        <v/>
      </c>
    </row>
    <row r="10" spans="1:8" x14ac:dyDescent="0.3">
      <c r="A10" s="37"/>
      <c r="B10" s="46"/>
      <c r="C10" s="47"/>
      <c r="D10" s="47"/>
      <c r="E10" s="47"/>
      <c r="F10" s="47"/>
      <c r="G10" s="40" t="str">
        <f>IF(AND(expected_severities[[#This Row],[xs:species]]&lt;&gt;"",SUM(expected_severities[[#This Row],[xs:nonRecovery]:[xs:custom]])=0),total_number_mssg,IF(AND(expected_severities[[#This Row],[xs:species]]="",SUM(expected_severities[[#This Row],[xs:nonRecovery]:[xs:custom]])&gt;0),select_species_mssg,""))</f>
        <v/>
      </c>
      <c r="H10" s="40" t="str">
        <f>IF(AND(expected_severities[[#This Row],[xs:species]]&lt;&gt;"",OR(expected_severities[[#This Row],[xs:nonRecovery]]="",expected_severities[[#This Row],[xs:mild]]="",expected_severities[[#This Row],[xs:moderate]]="",expected_severities[[#This Row],[xs:severe]]="")),fill_all_cells_mssg,"")</f>
        <v/>
      </c>
    </row>
    <row r="11" spans="1:8" x14ac:dyDescent="0.3">
      <c r="A11" s="37"/>
      <c r="B11" s="46"/>
      <c r="C11" s="47"/>
      <c r="D11" s="47"/>
      <c r="E11" s="47"/>
      <c r="F11" s="47"/>
      <c r="G11" s="40" t="str">
        <f>IF(AND(expected_severities[[#This Row],[xs:species]]&lt;&gt;"",SUM(expected_severities[[#This Row],[xs:nonRecovery]:[xs:custom]])=0),total_number_mssg,IF(AND(expected_severities[[#This Row],[xs:species]]="",SUM(expected_severities[[#This Row],[xs:nonRecovery]:[xs:custom]])&gt;0),select_species_mssg,""))</f>
        <v/>
      </c>
      <c r="H11" s="40" t="str">
        <f>IF(AND(expected_severities[[#This Row],[xs:species]]&lt;&gt;"",OR(expected_severities[[#This Row],[xs:nonRecovery]]="",expected_severities[[#This Row],[xs:mild]]="",expected_severities[[#This Row],[xs:moderate]]="",expected_severities[[#This Row],[xs:severe]]="")),fill_all_cells_mssg,"")</f>
        <v/>
      </c>
    </row>
    <row r="12" spans="1:8" x14ac:dyDescent="0.3">
      <c r="A12" s="37"/>
      <c r="B12" s="46"/>
      <c r="C12" s="47"/>
      <c r="D12" s="47"/>
      <c r="E12" s="47"/>
      <c r="F12" s="47"/>
      <c r="G12" s="40" t="str">
        <f>IF(AND(expected_severities[[#This Row],[xs:species]]&lt;&gt;"",SUM(expected_severities[[#This Row],[xs:nonRecovery]:[xs:custom]])=0),total_number_mssg,IF(AND(expected_severities[[#This Row],[xs:species]]="",SUM(expected_severities[[#This Row],[xs:nonRecovery]:[xs:custom]])&gt;0),select_species_mssg,""))</f>
        <v/>
      </c>
      <c r="H12" s="40" t="str">
        <f>IF(AND(expected_severities[[#This Row],[xs:species]]&lt;&gt;"",OR(expected_severities[[#This Row],[xs:nonRecovery]]="",expected_severities[[#This Row],[xs:mild]]="",expected_severities[[#This Row],[xs:moderate]]="",expected_severities[[#This Row],[xs:severe]]="")),fill_all_cells_mssg,"")</f>
        <v/>
      </c>
    </row>
    <row r="13" spans="1:8" x14ac:dyDescent="0.3">
      <c r="A13" s="37"/>
      <c r="B13" s="46"/>
      <c r="C13" s="47"/>
      <c r="D13" s="47"/>
      <c r="E13" s="47"/>
      <c r="F13" s="47"/>
      <c r="G13" s="40" t="str">
        <f>IF(AND(expected_severities[[#This Row],[xs:species]]&lt;&gt;"",SUM(expected_severities[[#This Row],[xs:nonRecovery]:[xs:custom]])=0),total_number_mssg,IF(AND(expected_severities[[#This Row],[xs:species]]="",SUM(expected_severities[[#This Row],[xs:nonRecovery]:[xs:custom]])&gt;0),select_species_mssg,""))</f>
        <v/>
      </c>
      <c r="H13" s="40" t="str">
        <f>IF(AND(expected_severities[[#This Row],[xs:species]]&lt;&gt;"",OR(expected_severities[[#This Row],[xs:nonRecovery]]="",expected_severities[[#This Row],[xs:mild]]="",expected_severities[[#This Row],[xs:moderate]]="",expected_severities[[#This Row],[xs:severe]]="")),fill_all_cells_mssg,"")</f>
        <v/>
      </c>
    </row>
    <row r="14" spans="1:8" x14ac:dyDescent="0.3">
      <c r="A14" s="37"/>
      <c r="B14" s="46"/>
      <c r="C14" s="47"/>
      <c r="D14" s="47"/>
      <c r="E14" s="47"/>
      <c r="F14" s="47"/>
      <c r="G14" s="40" t="str">
        <f>IF(AND(expected_severities[[#This Row],[xs:species]]&lt;&gt;"",SUM(expected_severities[[#This Row],[xs:nonRecovery]:[xs:custom]])=0),total_number_mssg,IF(AND(expected_severities[[#This Row],[xs:species]]="",SUM(expected_severities[[#This Row],[xs:nonRecovery]:[xs:custom]])&gt;0),select_species_mssg,""))</f>
        <v/>
      </c>
      <c r="H14" s="40" t="str">
        <f>IF(AND(expected_severities[[#This Row],[xs:species]]&lt;&gt;"",OR(expected_severities[[#This Row],[xs:nonRecovery]]="",expected_severities[[#This Row],[xs:mild]]="",expected_severities[[#This Row],[xs:moderate]]="",expected_severities[[#This Row],[xs:severe]]="")),fill_all_cells_mssg,"")</f>
        <v/>
      </c>
    </row>
    <row r="15" spans="1:8" x14ac:dyDescent="0.3">
      <c r="A15" s="37"/>
      <c r="B15" s="46"/>
      <c r="C15" s="47"/>
      <c r="D15" s="47"/>
      <c r="E15" s="47"/>
      <c r="F15" s="47"/>
      <c r="G15" s="40" t="str">
        <f>IF(AND(expected_severities[[#This Row],[xs:species]]&lt;&gt;"",SUM(expected_severities[[#This Row],[xs:nonRecovery]:[xs:custom]])=0),total_number_mssg,IF(AND(expected_severities[[#This Row],[xs:species]]="",SUM(expected_severities[[#This Row],[xs:nonRecovery]:[xs:custom]])&gt;0),select_species_mssg,""))</f>
        <v/>
      </c>
      <c r="H15" s="40" t="str">
        <f>IF(AND(expected_severities[[#This Row],[xs:species]]&lt;&gt;"",OR(expected_severities[[#This Row],[xs:nonRecovery]]="",expected_severities[[#This Row],[xs:mild]]="",expected_severities[[#This Row],[xs:moderate]]="",expected_severities[[#This Row],[xs:severe]]="")),fill_all_cells_mssg,"")</f>
        <v/>
      </c>
    </row>
    <row r="16" spans="1:8" x14ac:dyDescent="0.3">
      <c r="A16" s="37"/>
      <c r="B16" s="46"/>
      <c r="C16" s="47"/>
      <c r="D16" s="47"/>
      <c r="E16" s="47"/>
      <c r="F16" s="47"/>
      <c r="G16" s="40" t="str">
        <f>IF(AND(expected_severities[[#This Row],[xs:species]]&lt;&gt;"",SUM(expected_severities[[#This Row],[xs:nonRecovery]:[xs:custom]])=0),total_number_mssg,IF(AND(expected_severities[[#This Row],[xs:species]]="",SUM(expected_severities[[#This Row],[xs:nonRecovery]:[xs:custom]])&gt;0),select_species_mssg,""))</f>
        <v/>
      </c>
      <c r="H16" s="40" t="str">
        <f>IF(AND(expected_severities[[#This Row],[xs:species]]&lt;&gt;"",OR(expected_severities[[#This Row],[xs:nonRecovery]]="",expected_severities[[#This Row],[xs:mild]]="",expected_severities[[#This Row],[xs:moderate]]="",expected_severities[[#This Row],[xs:severe]]="")),fill_all_cells_mssg,"")</f>
        <v/>
      </c>
    </row>
    <row r="17" spans="1:8" x14ac:dyDescent="0.3">
      <c r="A17" s="37"/>
      <c r="B17" s="46"/>
      <c r="C17" s="47"/>
      <c r="D17" s="47"/>
      <c r="E17" s="47"/>
      <c r="F17" s="47"/>
      <c r="G17" s="40" t="str">
        <f>IF(AND(expected_severities[[#This Row],[xs:species]]&lt;&gt;"",SUM(expected_severities[[#This Row],[xs:nonRecovery]:[xs:custom]])=0),total_number_mssg,IF(AND(expected_severities[[#This Row],[xs:species]]="",SUM(expected_severities[[#This Row],[xs:nonRecovery]:[xs:custom]])&gt;0),select_species_mssg,""))</f>
        <v/>
      </c>
      <c r="H17" s="40" t="str">
        <f>IF(AND(expected_severities[[#This Row],[xs:species]]&lt;&gt;"",OR(expected_severities[[#This Row],[xs:nonRecovery]]="",expected_severities[[#This Row],[xs:mild]]="",expected_severities[[#This Row],[xs:moderate]]="",expected_severities[[#This Row],[xs:severe]]="")),fill_all_cells_mssg,"")</f>
        <v/>
      </c>
    </row>
    <row r="18" spans="1:8" x14ac:dyDescent="0.3">
      <c r="A18" s="37"/>
      <c r="B18" s="46"/>
      <c r="C18" s="47"/>
      <c r="D18" s="47"/>
      <c r="E18" s="47"/>
      <c r="F18" s="47"/>
      <c r="G18" s="40" t="str">
        <f>IF(AND(expected_severities[[#This Row],[xs:species]]&lt;&gt;"",SUM(expected_severities[[#This Row],[xs:nonRecovery]:[xs:custom]])=0),total_number_mssg,IF(AND(expected_severities[[#This Row],[xs:species]]="",SUM(expected_severities[[#This Row],[xs:nonRecovery]:[xs:custom]])&gt;0),select_species_mssg,""))</f>
        <v/>
      </c>
      <c r="H18" s="40" t="str">
        <f>IF(AND(expected_severities[[#This Row],[xs:species]]&lt;&gt;"",OR(expected_severities[[#This Row],[xs:nonRecovery]]="",expected_severities[[#This Row],[xs:mild]]="",expected_severities[[#This Row],[xs:moderate]]="",expected_severities[[#This Row],[xs:severe]]="")),fill_all_cells_mssg,"")</f>
        <v/>
      </c>
    </row>
    <row r="19" spans="1:8" x14ac:dyDescent="0.3">
      <c r="A19" s="37"/>
      <c r="B19" s="46"/>
      <c r="C19" s="47"/>
      <c r="D19" s="47"/>
      <c r="E19" s="47"/>
      <c r="F19" s="47"/>
      <c r="G19" s="40" t="str">
        <f>IF(AND(expected_severities[[#This Row],[xs:species]]&lt;&gt;"",SUM(expected_severities[[#This Row],[xs:nonRecovery]:[xs:custom]])=0),total_number_mssg,IF(AND(expected_severities[[#This Row],[xs:species]]="",SUM(expected_severities[[#This Row],[xs:nonRecovery]:[xs:custom]])&gt;0),select_species_mssg,""))</f>
        <v/>
      </c>
      <c r="H19" s="40" t="str">
        <f>IF(AND(expected_severities[[#This Row],[xs:species]]&lt;&gt;"",OR(expected_severities[[#This Row],[xs:nonRecovery]]="",expected_severities[[#This Row],[xs:mild]]="",expected_severities[[#This Row],[xs:moderate]]="",expected_severities[[#This Row],[xs:severe]]="")),fill_all_cells_mssg,"")</f>
        <v/>
      </c>
    </row>
    <row r="20" spans="1:8" x14ac:dyDescent="0.3">
      <c r="A20" s="37"/>
      <c r="B20" s="46"/>
      <c r="C20" s="47"/>
      <c r="D20" s="47"/>
      <c r="E20" s="47"/>
      <c r="F20" s="47"/>
      <c r="G20" s="40" t="str">
        <f>IF(AND(expected_severities[[#This Row],[xs:species]]&lt;&gt;"",SUM(expected_severities[[#This Row],[xs:nonRecovery]:[xs:custom]])=0),total_number_mssg,IF(AND(expected_severities[[#This Row],[xs:species]]="",SUM(expected_severities[[#This Row],[xs:nonRecovery]:[xs:custom]])&gt;0),select_species_mssg,""))</f>
        <v/>
      </c>
      <c r="H20" s="40" t="str">
        <f>IF(AND(expected_severities[[#This Row],[xs:species]]&lt;&gt;"",OR(expected_severities[[#This Row],[xs:nonRecovery]]="",expected_severities[[#This Row],[xs:mild]]="",expected_severities[[#This Row],[xs:moderate]]="",expected_severities[[#This Row],[xs:severe]]="")),fill_all_cells_mssg,"")</f>
        <v/>
      </c>
    </row>
    <row r="21" spans="1:8" x14ac:dyDescent="0.3">
      <c r="A21" s="37"/>
      <c r="B21" s="46"/>
      <c r="C21" s="47"/>
      <c r="D21" s="47"/>
      <c r="E21" s="47"/>
      <c r="F21" s="47"/>
      <c r="G21" s="40" t="str">
        <f>IF(AND(expected_severities[[#This Row],[xs:species]]&lt;&gt;"",SUM(expected_severities[[#This Row],[xs:nonRecovery]:[xs:custom]])=0),total_number_mssg,IF(AND(expected_severities[[#This Row],[xs:species]]="",SUM(expected_severities[[#This Row],[xs:nonRecovery]:[xs:custom]])&gt;0),select_species_mssg,""))</f>
        <v/>
      </c>
      <c r="H21" s="40" t="str">
        <f>IF(AND(expected_severities[[#This Row],[xs:species]]&lt;&gt;"",OR(expected_severities[[#This Row],[xs:nonRecovery]]="",expected_severities[[#This Row],[xs:mild]]="",expected_severities[[#This Row],[xs:moderate]]="",expected_severities[[#This Row],[xs:severe]]="")),fill_all_cells_mssg,"")</f>
        <v/>
      </c>
    </row>
    <row r="22" spans="1:8" x14ac:dyDescent="0.3">
      <c r="A22" s="37"/>
      <c r="B22" s="46"/>
      <c r="C22" s="47"/>
      <c r="D22" s="47"/>
      <c r="E22" s="47"/>
      <c r="F22" s="47"/>
      <c r="G22" s="40" t="str">
        <f>IF(AND(expected_severities[[#This Row],[xs:species]]&lt;&gt;"",SUM(expected_severities[[#This Row],[xs:nonRecovery]:[xs:custom]])=0),total_number_mssg,IF(AND(expected_severities[[#This Row],[xs:species]]="",SUM(expected_severities[[#This Row],[xs:nonRecovery]:[xs:custom]])&gt;0),select_species_mssg,""))</f>
        <v/>
      </c>
      <c r="H22" s="40" t="str">
        <f>IF(AND(expected_severities[[#This Row],[xs:species]]&lt;&gt;"",OR(expected_severities[[#This Row],[xs:nonRecovery]]="",expected_severities[[#This Row],[xs:mild]]="",expected_severities[[#This Row],[xs:moderate]]="",expected_severities[[#This Row],[xs:severe]]="")),fill_all_cells_mssg,"")</f>
        <v/>
      </c>
    </row>
    <row r="23" spans="1:8" x14ac:dyDescent="0.3">
      <c r="A23" s="37"/>
      <c r="B23" s="46"/>
      <c r="C23" s="47"/>
      <c r="D23" s="47"/>
      <c r="E23" s="47"/>
      <c r="F23" s="47"/>
      <c r="G23" s="40" t="str">
        <f>IF(AND(expected_severities[[#This Row],[xs:species]]&lt;&gt;"",SUM(expected_severities[[#This Row],[xs:nonRecovery]:[xs:custom]])=0),total_number_mssg,IF(AND(expected_severities[[#This Row],[xs:species]]="",SUM(expected_severities[[#This Row],[xs:nonRecovery]:[xs:custom]])&gt;0),select_species_mssg,""))</f>
        <v/>
      </c>
      <c r="H23" s="40" t="str">
        <f>IF(AND(expected_severities[[#This Row],[xs:species]]&lt;&gt;"",OR(expected_severities[[#This Row],[xs:nonRecovery]]="",expected_severities[[#This Row],[xs:mild]]="",expected_severities[[#This Row],[xs:moderate]]="",expected_severities[[#This Row],[xs:severe]]="")),fill_all_cells_mssg,"")</f>
        <v/>
      </c>
    </row>
    <row r="24" spans="1:8" x14ac:dyDescent="0.3">
      <c r="A24" s="37"/>
      <c r="B24" s="46"/>
      <c r="C24" s="47"/>
      <c r="D24" s="47"/>
      <c r="E24" s="47"/>
      <c r="F24" s="47"/>
      <c r="G24" s="40" t="str">
        <f>IF(AND(expected_severities[[#This Row],[xs:species]]&lt;&gt;"",SUM(expected_severities[[#This Row],[xs:nonRecovery]:[xs:custom]])=0),total_number_mssg,IF(AND(expected_severities[[#This Row],[xs:species]]="",SUM(expected_severities[[#This Row],[xs:nonRecovery]:[xs:custom]])&gt;0),select_species_mssg,""))</f>
        <v/>
      </c>
      <c r="H24" s="40" t="str">
        <f>IF(AND(expected_severities[[#This Row],[xs:species]]&lt;&gt;"",OR(expected_severities[[#This Row],[xs:nonRecovery]]="",expected_severities[[#This Row],[xs:mild]]="",expected_severities[[#This Row],[xs:moderate]]="",expected_severities[[#This Row],[xs:severe]]="")),fill_all_cells_mssg,"")</f>
        <v/>
      </c>
    </row>
    <row r="25" spans="1:8" x14ac:dyDescent="0.3">
      <c r="A25" s="37"/>
      <c r="B25" s="46"/>
      <c r="C25" s="47"/>
      <c r="D25" s="47"/>
      <c r="E25" s="47"/>
      <c r="F25" s="47"/>
      <c r="G25" s="40" t="str">
        <f>IF(AND(expected_severities[[#This Row],[xs:species]]&lt;&gt;"",SUM(expected_severities[[#This Row],[xs:nonRecovery]:[xs:custom]])=0),total_number_mssg,IF(AND(expected_severities[[#This Row],[xs:species]]="",SUM(expected_severities[[#This Row],[xs:nonRecovery]:[xs:custom]])&gt;0),select_species_mssg,""))</f>
        <v/>
      </c>
      <c r="H25" s="40" t="str">
        <f>IF(AND(expected_severities[[#This Row],[xs:species]]&lt;&gt;"",OR(expected_severities[[#This Row],[xs:nonRecovery]]="",expected_severities[[#This Row],[xs:mild]]="",expected_severities[[#This Row],[xs:moderate]]="",expected_severities[[#This Row],[xs:severe]]="")),fill_all_cells_mssg,"")</f>
        <v/>
      </c>
    </row>
    <row r="26" spans="1:8" x14ac:dyDescent="0.3">
      <c r="A26" s="37"/>
      <c r="B26" s="46"/>
      <c r="C26" s="47"/>
      <c r="D26" s="47"/>
      <c r="E26" s="47"/>
      <c r="F26" s="47"/>
      <c r="G26" s="40" t="str">
        <f>IF(AND(expected_severities[[#This Row],[xs:species]]&lt;&gt;"",SUM(expected_severities[[#This Row],[xs:nonRecovery]:[xs:custom]])=0),total_number_mssg,IF(AND(expected_severities[[#This Row],[xs:species]]="",SUM(expected_severities[[#This Row],[xs:nonRecovery]:[xs:custom]])&gt;0),select_species_mssg,""))</f>
        <v/>
      </c>
      <c r="H26" s="40" t="str">
        <f>IF(AND(expected_severities[[#This Row],[xs:species]]&lt;&gt;"",OR(expected_severities[[#This Row],[xs:nonRecovery]]="",expected_severities[[#This Row],[xs:mild]]="",expected_severities[[#This Row],[xs:moderate]]="",expected_severities[[#This Row],[xs:severe]]="")),fill_all_cells_mssg,"")</f>
        <v/>
      </c>
    </row>
    <row r="27" spans="1:8" x14ac:dyDescent="0.3">
      <c r="A27" s="37"/>
      <c r="B27" s="46"/>
      <c r="C27" s="47"/>
      <c r="D27" s="47"/>
      <c r="E27" s="47"/>
      <c r="F27" s="47"/>
      <c r="G27" s="40" t="str">
        <f>IF(AND(expected_severities[[#This Row],[xs:species]]&lt;&gt;"",SUM(expected_severities[[#This Row],[xs:nonRecovery]:[xs:custom]])=0),total_number_mssg,IF(AND(expected_severities[[#This Row],[xs:species]]="",SUM(expected_severities[[#This Row],[xs:nonRecovery]:[xs:custom]])&gt;0),select_species_mssg,""))</f>
        <v/>
      </c>
      <c r="H27" s="40" t="str">
        <f>IF(AND(expected_severities[[#This Row],[xs:species]]&lt;&gt;"",OR(expected_severities[[#This Row],[xs:nonRecovery]]="",expected_severities[[#This Row],[xs:mild]]="",expected_severities[[#This Row],[xs:moderate]]="",expected_severities[[#This Row],[xs:severe]]="")),fill_all_cells_mssg,"")</f>
        <v/>
      </c>
    </row>
    <row r="28" spans="1:8" x14ac:dyDescent="0.3">
      <c r="A28" s="37"/>
      <c r="B28" s="46"/>
      <c r="C28" s="47"/>
      <c r="D28" s="47"/>
      <c r="E28" s="47"/>
      <c r="F28" s="47"/>
      <c r="G28" s="40" t="str">
        <f>IF(AND(expected_severities[[#This Row],[xs:species]]&lt;&gt;"",SUM(expected_severities[[#This Row],[xs:nonRecovery]:[xs:custom]])=0),total_number_mssg,IF(AND(expected_severities[[#This Row],[xs:species]]="",SUM(expected_severities[[#This Row],[xs:nonRecovery]:[xs:custom]])&gt;0),select_species_mssg,""))</f>
        <v/>
      </c>
      <c r="H28" s="40" t="str">
        <f>IF(AND(expected_severities[[#This Row],[xs:species]]&lt;&gt;"",OR(expected_severities[[#This Row],[xs:nonRecovery]]="",expected_severities[[#This Row],[xs:mild]]="",expected_severities[[#This Row],[xs:moderate]]="",expected_severities[[#This Row],[xs:severe]]="")),fill_all_cells_mssg,"")</f>
        <v/>
      </c>
    </row>
    <row r="29" spans="1:8" x14ac:dyDescent="0.3">
      <c r="A29" s="37"/>
      <c r="B29" s="46"/>
      <c r="C29" s="47"/>
      <c r="D29" s="47"/>
      <c r="E29" s="47"/>
      <c r="F29" s="47"/>
      <c r="G29" s="40" t="str">
        <f>IF(AND(expected_severities[[#This Row],[xs:species]]&lt;&gt;"",SUM(expected_severities[[#This Row],[xs:nonRecovery]:[xs:custom]])=0),total_number_mssg,IF(AND(expected_severities[[#This Row],[xs:species]]="",SUM(expected_severities[[#This Row],[xs:nonRecovery]:[xs:custom]])&gt;0),select_species_mssg,""))</f>
        <v/>
      </c>
      <c r="H29" s="40" t="str">
        <f>IF(AND(expected_severities[[#This Row],[xs:species]]&lt;&gt;"",OR(expected_severities[[#This Row],[xs:nonRecovery]]="",expected_severities[[#This Row],[xs:mild]]="",expected_severities[[#This Row],[xs:moderate]]="",expected_severities[[#This Row],[xs:severe]]="")),fill_all_cells_mssg,"")</f>
        <v/>
      </c>
    </row>
    <row r="30" spans="1:8" x14ac:dyDescent="0.3">
      <c r="A30" s="37"/>
      <c r="B30" s="46"/>
      <c r="C30" s="47"/>
      <c r="D30" s="47"/>
      <c r="E30" s="47"/>
      <c r="F30" s="47"/>
      <c r="G30" s="40" t="str">
        <f>IF(AND(expected_severities[[#This Row],[xs:species]]&lt;&gt;"",SUM(expected_severities[[#This Row],[xs:nonRecovery]:[xs:custom]])=0),total_number_mssg,IF(AND(expected_severities[[#This Row],[xs:species]]="",SUM(expected_severities[[#This Row],[xs:nonRecovery]:[xs:custom]])&gt;0),select_species_mssg,""))</f>
        <v/>
      </c>
      <c r="H30" s="40" t="str">
        <f>IF(AND(expected_severities[[#This Row],[xs:species]]&lt;&gt;"",OR(expected_severities[[#This Row],[xs:nonRecovery]]="",expected_severities[[#This Row],[xs:mild]]="",expected_severities[[#This Row],[xs:moderate]]="",expected_severities[[#This Row],[xs:severe]]="")),fill_all_cells_mssg,"")</f>
        <v/>
      </c>
    </row>
    <row r="31" spans="1:8" x14ac:dyDescent="0.3">
      <c r="A31" s="37"/>
      <c r="B31" s="46"/>
      <c r="C31" s="47"/>
      <c r="D31" s="47"/>
      <c r="E31" s="47"/>
      <c r="F31" s="47"/>
      <c r="G31" s="40" t="str">
        <f>IF(AND(expected_severities[[#This Row],[xs:species]]&lt;&gt;"",SUM(expected_severities[[#This Row],[xs:nonRecovery]:[xs:custom]])=0),total_number_mssg,IF(AND(expected_severities[[#This Row],[xs:species]]="",SUM(expected_severities[[#This Row],[xs:nonRecovery]:[xs:custom]])&gt;0),select_species_mssg,""))</f>
        <v/>
      </c>
      <c r="H31" s="40" t="str">
        <f>IF(AND(expected_severities[[#This Row],[xs:species]]&lt;&gt;"",OR(expected_severities[[#This Row],[xs:nonRecovery]]="",expected_severities[[#This Row],[xs:mild]]="",expected_severities[[#This Row],[xs:moderate]]="",expected_severities[[#This Row],[xs:severe]]="")),fill_all_cells_mssg,"")</f>
        <v/>
      </c>
    </row>
    <row r="32" spans="1:8" x14ac:dyDescent="0.3">
      <c r="A32" s="37"/>
      <c r="B32" s="46"/>
      <c r="C32" s="47"/>
      <c r="D32" s="47"/>
      <c r="E32" s="47"/>
      <c r="F32" s="47"/>
      <c r="G32" s="40" t="str">
        <f>IF(AND(expected_severities[[#This Row],[xs:species]]&lt;&gt;"",SUM(expected_severities[[#This Row],[xs:nonRecovery]:[xs:custom]])=0),total_number_mssg,IF(AND(expected_severities[[#This Row],[xs:species]]="",SUM(expected_severities[[#This Row],[xs:nonRecovery]:[xs:custom]])&gt;0),select_species_mssg,""))</f>
        <v/>
      </c>
      <c r="H32" s="40" t="str">
        <f>IF(AND(expected_severities[[#This Row],[xs:species]]&lt;&gt;"",OR(expected_severities[[#This Row],[xs:nonRecovery]]="",expected_severities[[#This Row],[xs:mild]]="",expected_severities[[#This Row],[xs:moderate]]="",expected_severities[[#This Row],[xs:severe]]="")),fill_all_cells_mssg,"")</f>
        <v/>
      </c>
    </row>
    <row r="33" spans="1:8" x14ac:dyDescent="0.3">
      <c r="A33" s="37"/>
      <c r="B33" s="46"/>
      <c r="C33" s="47"/>
      <c r="D33" s="47"/>
      <c r="E33" s="47"/>
      <c r="F33" s="47"/>
      <c r="G33" s="40" t="str">
        <f>IF(AND(expected_severities[[#This Row],[xs:species]]&lt;&gt;"",SUM(expected_severities[[#This Row],[xs:nonRecovery]:[xs:custom]])=0),total_number_mssg,IF(AND(expected_severities[[#This Row],[xs:species]]="",SUM(expected_severities[[#This Row],[xs:nonRecovery]:[xs:custom]])&gt;0),select_species_mssg,""))</f>
        <v/>
      </c>
      <c r="H33" s="40" t="str">
        <f>IF(AND(expected_severities[[#This Row],[xs:species]]&lt;&gt;"",OR(expected_severities[[#This Row],[xs:nonRecovery]]="",expected_severities[[#This Row],[xs:mild]]="",expected_severities[[#This Row],[xs:moderate]]="",expected_severities[[#This Row],[xs:severe]]="")),fill_all_cells_mssg,"")</f>
        <v/>
      </c>
    </row>
    <row r="34" spans="1:8" x14ac:dyDescent="0.3">
      <c r="A34" s="37"/>
      <c r="B34" s="46"/>
      <c r="C34" s="47"/>
      <c r="D34" s="47"/>
      <c r="E34" s="47"/>
      <c r="F34" s="47"/>
      <c r="G34" s="40" t="str">
        <f>IF(AND(expected_severities[[#This Row],[xs:species]]&lt;&gt;"",SUM(expected_severities[[#This Row],[xs:nonRecovery]:[xs:custom]])=0),total_number_mssg,IF(AND(expected_severities[[#This Row],[xs:species]]="",SUM(expected_severities[[#This Row],[xs:nonRecovery]:[xs:custom]])&gt;0),select_species_mssg,""))</f>
        <v/>
      </c>
      <c r="H34" s="40" t="str">
        <f>IF(AND(expected_severities[[#This Row],[xs:species]]&lt;&gt;"",OR(expected_severities[[#This Row],[xs:nonRecovery]]="",expected_severities[[#This Row],[xs:mild]]="",expected_severities[[#This Row],[xs:moderate]]="",expected_severities[[#This Row],[xs:severe]]="")),fill_all_cells_mssg,"")</f>
        <v/>
      </c>
    </row>
    <row r="35" spans="1:8" x14ac:dyDescent="0.3">
      <c r="A35" s="37"/>
      <c r="B35" s="46"/>
      <c r="C35" s="47"/>
      <c r="D35" s="47"/>
      <c r="E35" s="47"/>
      <c r="F35" s="47"/>
      <c r="G35" s="40" t="str">
        <f>IF(AND(expected_severities[[#This Row],[xs:species]]&lt;&gt;"",SUM(expected_severities[[#This Row],[xs:nonRecovery]:[xs:custom]])=0),total_number_mssg,IF(AND(expected_severities[[#This Row],[xs:species]]="",SUM(expected_severities[[#This Row],[xs:nonRecovery]:[xs:custom]])&gt;0),select_species_mssg,""))</f>
        <v/>
      </c>
      <c r="H35" s="40" t="str">
        <f>IF(AND(expected_severities[[#This Row],[xs:species]]&lt;&gt;"",OR(expected_severities[[#This Row],[xs:nonRecovery]]="",expected_severities[[#This Row],[xs:mild]]="",expected_severities[[#This Row],[xs:moderate]]="",expected_severities[[#This Row],[xs:severe]]="")),fill_all_cells_mssg,"")</f>
        <v/>
      </c>
    </row>
    <row r="36" spans="1:8" x14ac:dyDescent="0.3">
      <c r="A36" s="37"/>
      <c r="B36" s="46"/>
      <c r="C36" s="47"/>
      <c r="D36" s="47"/>
      <c r="E36" s="47"/>
      <c r="F36" s="47"/>
      <c r="G36" s="40" t="str">
        <f>IF(AND(expected_severities[[#This Row],[xs:species]]&lt;&gt;"",SUM(expected_severities[[#This Row],[xs:nonRecovery]:[xs:custom]])=0),total_number_mssg,IF(AND(expected_severities[[#This Row],[xs:species]]="",SUM(expected_severities[[#This Row],[xs:nonRecovery]:[xs:custom]])&gt;0),select_species_mssg,""))</f>
        <v/>
      </c>
      <c r="H36" s="40" t="str">
        <f>IF(AND(expected_severities[[#This Row],[xs:species]]&lt;&gt;"",OR(expected_severities[[#This Row],[xs:nonRecovery]]="",expected_severities[[#This Row],[xs:mild]]="",expected_severities[[#This Row],[xs:moderate]]="",expected_severities[[#This Row],[xs:severe]]="")),fill_all_cells_mssg,"")</f>
        <v/>
      </c>
    </row>
    <row r="37" spans="1:8" x14ac:dyDescent="0.3">
      <c r="A37" s="37"/>
      <c r="B37" s="46"/>
      <c r="C37" s="47"/>
      <c r="D37" s="47"/>
      <c r="E37" s="47"/>
      <c r="F37" s="47"/>
      <c r="G37" s="40" t="str">
        <f>IF(AND(expected_severities[[#This Row],[xs:species]]&lt;&gt;"",SUM(expected_severities[[#This Row],[xs:nonRecovery]:[xs:custom]])=0),total_number_mssg,IF(AND(expected_severities[[#This Row],[xs:species]]="",SUM(expected_severities[[#This Row],[xs:nonRecovery]:[xs:custom]])&gt;0),select_species_mssg,""))</f>
        <v/>
      </c>
      <c r="H37" s="40" t="str">
        <f>IF(AND(expected_severities[[#This Row],[xs:species]]&lt;&gt;"",OR(expected_severities[[#This Row],[xs:nonRecovery]]="",expected_severities[[#This Row],[xs:mild]]="",expected_severities[[#This Row],[xs:moderate]]="",expected_severities[[#This Row],[xs:severe]]="")),fill_all_cells_mssg,"")</f>
        <v/>
      </c>
    </row>
    <row r="38" spans="1:8" x14ac:dyDescent="0.3">
      <c r="A38" s="37"/>
      <c r="B38" s="46"/>
      <c r="C38" s="47"/>
      <c r="D38" s="47"/>
      <c r="E38" s="47"/>
      <c r="F38" s="47"/>
      <c r="G38" s="40" t="str">
        <f>IF(AND(expected_severities[[#This Row],[xs:species]]&lt;&gt;"",SUM(expected_severities[[#This Row],[xs:nonRecovery]:[xs:custom]])=0),total_number_mssg,IF(AND(expected_severities[[#This Row],[xs:species]]="",SUM(expected_severities[[#This Row],[xs:nonRecovery]:[xs:custom]])&gt;0),select_species_mssg,""))</f>
        <v/>
      </c>
      <c r="H38" s="40" t="str">
        <f>IF(AND(expected_severities[[#This Row],[xs:species]]&lt;&gt;"",OR(expected_severities[[#This Row],[xs:nonRecovery]]="",expected_severities[[#This Row],[xs:mild]]="",expected_severities[[#This Row],[xs:moderate]]="",expected_severities[[#This Row],[xs:severe]]="")),fill_all_cells_mssg,"")</f>
        <v/>
      </c>
    </row>
    <row r="39" spans="1:8" x14ac:dyDescent="0.3">
      <c r="A39" s="37"/>
      <c r="B39" s="46"/>
      <c r="C39" s="47"/>
      <c r="D39" s="47"/>
      <c r="E39" s="47"/>
      <c r="F39" s="47"/>
      <c r="G39" s="40" t="str">
        <f>IF(AND(expected_severities[[#This Row],[xs:species]]&lt;&gt;"",SUM(expected_severities[[#This Row],[xs:nonRecovery]:[xs:custom]])=0),total_number_mssg,IF(AND(expected_severities[[#This Row],[xs:species]]="",SUM(expected_severities[[#This Row],[xs:nonRecovery]:[xs:custom]])&gt;0),select_species_mssg,""))</f>
        <v/>
      </c>
      <c r="H39" s="40" t="str">
        <f>IF(AND(expected_severities[[#This Row],[xs:species]]&lt;&gt;"",OR(expected_severities[[#This Row],[xs:nonRecovery]]="",expected_severities[[#This Row],[xs:mild]]="",expected_severities[[#This Row],[xs:moderate]]="",expected_severities[[#This Row],[xs:severe]]="")),fill_all_cells_mssg,"")</f>
        <v/>
      </c>
    </row>
    <row r="40" spans="1:8" x14ac:dyDescent="0.3">
      <c r="A40" s="37"/>
      <c r="B40" s="46"/>
      <c r="C40" s="47"/>
      <c r="D40" s="47"/>
      <c r="E40" s="47"/>
      <c r="F40" s="47"/>
      <c r="G40" s="40" t="str">
        <f>IF(AND(expected_severities[[#This Row],[xs:species]]&lt;&gt;"",SUM(expected_severities[[#This Row],[xs:nonRecovery]:[xs:custom]])=0),total_number_mssg,IF(AND(expected_severities[[#This Row],[xs:species]]="",SUM(expected_severities[[#This Row],[xs:nonRecovery]:[xs:custom]])&gt;0),select_species_mssg,""))</f>
        <v/>
      </c>
      <c r="H40" s="40" t="str">
        <f>IF(AND(expected_severities[[#This Row],[xs:species]]&lt;&gt;"",OR(expected_severities[[#This Row],[xs:nonRecovery]]="",expected_severities[[#This Row],[xs:mild]]="",expected_severities[[#This Row],[xs:moderate]]="",expected_severities[[#This Row],[xs:severe]]="")),fill_all_cells_mssg,"")</f>
        <v/>
      </c>
    </row>
    <row r="41" spans="1:8" x14ac:dyDescent="0.3">
      <c r="A41" s="37"/>
      <c r="B41" s="46"/>
      <c r="C41" s="47"/>
      <c r="D41" s="47"/>
      <c r="E41" s="47"/>
      <c r="F41" s="47"/>
      <c r="G41" s="40" t="str">
        <f>IF(AND(expected_severities[[#This Row],[xs:species]]&lt;&gt;"",SUM(expected_severities[[#This Row],[xs:nonRecovery]:[xs:custom]])=0),total_number_mssg,IF(AND(expected_severities[[#This Row],[xs:species]]="",SUM(expected_severities[[#This Row],[xs:nonRecovery]:[xs:custom]])&gt;0),select_species_mssg,""))</f>
        <v/>
      </c>
      <c r="H41" s="40" t="str">
        <f>IF(AND(expected_severities[[#This Row],[xs:species]]&lt;&gt;"",OR(expected_severities[[#This Row],[xs:nonRecovery]]="",expected_severities[[#This Row],[xs:mild]]="",expected_severities[[#This Row],[xs:moderate]]="",expected_severities[[#This Row],[xs:severe]]="")),fill_all_cells_mssg,"")</f>
        <v/>
      </c>
    </row>
    <row r="42" spans="1:8" x14ac:dyDescent="0.3">
      <c r="A42" s="37"/>
      <c r="B42" s="46"/>
      <c r="C42" s="47"/>
      <c r="D42" s="47"/>
      <c r="E42" s="47"/>
      <c r="F42" s="47"/>
      <c r="G42" s="40" t="str">
        <f>IF(AND(expected_severities[[#This Row],[xs:species]]&lt;&gt;"",SUM(expected_severities[[#This Row],[xs:nonRecovery]:[xs:custom]])=0),total_number_mssg,IF(AND(expected_severities[[#This Row],[xs:species]]="",SUM(expected_severities[[#This Row],[xs:nonRecovery]:[xs:custom]])&gt;0),select_species_mssg,""))</f>
        <v/>
      </c>
      <c r="H42" s="40" t="str">
        <f>IF(AND(expected_severities[[#This Row],[xs:species]]&lt;&gt;"",OR(expected_severities[[#This Row],[xs:nonRecovery]]="",expected_severities[[#This Row],[xs:mild]]="",expected_severities[[#This Row],[xs:moderate]]="",expected_severities[[#This Row],[xs:severe]]="")),fill_all_cells_mssg,"")</f>
        <v/>
      </c>
    </row>
    <row r="43" spans="1:8" x14ac:dyDescent="0.3">
      <c r="C43" s="3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5" priority="2"/>
  </conditionalFormatting>
  <conditionalFormatting sqref="G4:G42">
    <cfRule type="expression" dxfId="4" priority="3">
      <formula>LEN(TRIM(G4))&gt;0</formula>
    </cfRule>
  </conditionalFormatting>
  <conditionalFormatting sqref="H4:H42">
    <cfRule type="expression" dxfId="3" priority="4">
      <formula>LEN(TRIM(H4))&gt;0</formula>
    </cfRule>
  </conditionalFormatting>
  <dataValidations count="2">
    <dataValidation type="whole" operator="greaterThanOrEqual" allowBlank="1" showInputMessage="1" showErrorMessage="1" sqref="B4:F42" xr:uid="{00000000-0002-0000-0200-000000000000}">
      <formula1>0</formula1>
      <formula2>0</formula2>
    </dataValidation>
    <dataValidation type="list" allowBlank="1" showInputMessage="1" showErrorMessage="1" sqref="A4:A42" xr:uid="{00000000-0002-0000-0200-000001000000}">
      <formula1>speciesShown</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42"/>
  <sheetViews>
    <sheetView zoomScaleNormal="100" workbookViewId="0">
      <selection activeCell="A4" sqref="A4"/>
    </sheetView>
  </sheetViews>
  <sheetFormatPr defaultRowHeight="14.4" x14ac:dyDescent="0.3"/>
  <cols>
    <col min="1" max="1" width="67.44140625" style="39" customWidth="1"/>
    <col min="2" max="4" width="20.6640625" style="39" customWidth="1"/>
    <col min="5" max="5" width="37.88671875" style="39" customWidth="1"/>
    <col min="6" max="6" width="65.33203125" style="39" customWidth="1"/>
    <col min="7" max="1025" width="9" style="39" customWidth="1"/>
  </cols>
  <sheetData>
    <row r="1" spans="1:6" ht="43.5" customHeight="1" x14ac:dyDescent="0.45">
      <c r="A1" s="48" t="str">
        <f>fateList_label</f>
        <v>Az életben maradt állatok sorsa</v>
      </c>
      <c r="B1" s="123" t="str">
        <f>numbers_per_fate_label</f>
        <v>Az ismételt felhasználásra, megfelelő élőhelyre vagy állattartási rendszerbe való visszajuttatásra vagy kihelyezésre szánt állatok becsült száma</v>
      </c>
      <c r="C1" s="123"/>
      <c r="D1" s="123"/>
      <c r="E1" s="42"/>
    </row>
    <row r="2" spans="1:6" ht="44.25" customHeight="1" x14ac:dyDescent="0.3">
      <c r="A2" s="49" t="str">
        <f>species_label</f>
        <v>Faj</v>
      </c>
      <c r="B2" s="44" t="str">
        <f>reused_label</f>
        <v>Ismételten felhasznált</v>
      </c>
      <c r="C2" s="44" t="str">
        <f>returned_label</f>
        <v>Visszajuttatott</v>
      </c>
      <c r="D2" s="44" t="str">
        <f>rehomed_label</f>
        <v>Kihelyezett</v>
      </c>
    </row>
    <row r="3" spans="1:6" ht="15.45" hidden="1" customHeight="1" x14ac:dyDescent="0.3">
      <c r="A3" s="39" t="s">
        <v>45</v>
      </c>
      <c r="B3" s="39" t="s">
        <v>51</v>
      </c>
      <c r="C3" s="39" t="s">
        <v>52</v>
      </c>
      <c r="D3" s="39" t="s">
        <v>53</v>
      </c>
    </row>
    <row r="4" spans="1:6" x14ac:dyDescent="0.3">
      <c r="A4" s="37"/>
      <c r="B4" s="47">
        <v>0</v>
      </c>
      <c r="C4" s="47">
        <v>0</v>
      </c>
      <c r="D4" s="47">
        <v>0</v>
      </c>
      <c r="E4" s="40" t="str">
        <f>IF(AND(fate_of_animals[[#This Row],[xs:species]]&lt;&gt;"",SUM(fate_of_animals[[#This Row],[xs:reused]:[xs:rehomed]])=0),total_number_mssg,IF(AND(fate_of_animals[[#This Row],[xs:species]]="",SUM(fate_of_animals[[#This Row],[xs:reused]:[xs:rehomed]])&gt;0),select_species_mssg,""))</f>
        <v/>
      </c>
      <c r="F4" s="40" t="str">
        <f>IF(AND(fate_of_animals[[#This Row],[xs:species]]&lt;&gt;"",OR(fate_of_animals[[#This Row],[xs:reused]]="",fate_of_animals[[#This Row],[xs:returned]]="",fate_of_animals[[#This Row],[xs:rehomed]]="")),fill_all_cells_mssg,"")</f>
        <v/>
      </c>
    </row>
    <row r="5" spans="1:6" x14ac:dyDescent="0.3">
      <c r="A5" s="37"/>
      <c r="B5" s="47"/>
      <c r="C5" s="47"/>
      <c r="D5" s="47"/>
      <c r="E5" s="40" t="str">
        <f>IF(AND(fate_of_animals[[#This Row],[xs:species]]&lt;&gt;"",SUM(fate_of_animals[[#This Row],[xs:reused]:[xs:rehomed]])=0),total_number_mssg,IF(AND(fate_of_animals[[#This Row],[xs:species]]="",SUM(fate_of_animals[[#This Row],[xs:reused]:[xs:rehomed]])&gt;0),select_species_mssg,""))</f>
        <v/>
      </c>
      <c r="F5" s="40" t="str">
        <f>IF(AND(fate_of_animals[[#This Row],[xs:species]]&lt;&gt;"",OR(fate_of_animals[[#This Row],[xs:reused]]="",fate_of_animals[[#This Row],[xs:returned]]="",fate_of_animals[[#This Row],[xs:rehomed]]="")),fill_all_cells_mssg,"")</f>
        <v/>
      </c>
    </row>
    <row r="6" spans="1:6" x14ac:dyDescent="0.3">
      <c r="A6" s="37"/>
      <c r="B6" s="47"/>
      <c r="C6" s="47"/>
      <c r="D6" s="47"/>
      <c r="E6" s="40" t="str">
        <f>IF(AND(fate_of_animals[[#This Row],[xs:species]]&lt;&gt;"",SUM(fate_of_animals[[#This Row],[xs:reused]:[xs:rehomed]])=0),total_number_mssg,IF(AND(fate_of_animals[[#This Row],[xs:species]]="",SUM(fate_of_animals[[#This Row],[xs:reused]:[xs:rehomed]])&gt;0),select_species_mssg,""))</f>
        <v/>
      </c>
      <c r="F6" s="40" t="str">
        <f>IF(AND(fate_of_animals[[#This Row],[xs:species]]&lt;&gt;"",OR(fate_of_animals[[#This Row],[xs:reused]]="",fate_of_animals[[#This Row],[xs:returned]]="",fate_of_animals[[#This Row],[xs:rehomed]]="")),fill_all_cells_mssg,"")</f>
        <v/>
      </c>
    </row>
    <row r="7" spans="1:6" x14ac:dyDescent="0.3">
      <c r="A7" s="37"/>
      <c r="B7" s="47"/>
      <c r="C7" s="47"/>
      <c r="D7" s="47"/>
      <c r="E7" s="40" t="str">
        <f>IF(AND(fate_of_animals[[#This Row],[xs:species]]&lt;&gt;"",SUM(fate_of_animals[[#This Row],[xs:reused]:[xs:rehomed]])=0),total_number_mssg,IF(AND(fate_of_animals[[#This Row],[xs:species]]="",SUM(fate_of_animals[[#This Row],[xs:reused]:[xs:rehomed]])&gt;0),select_species_mssg,""))</f>
        <v/>
      </c>
      <c r="F7" s="40" t="str">
        <f>IF(AND(fate_of_animals[[#This Row],[xs:species]]&lt;&gt;"",OR(fate_of_animals[[#This Row],[xs:reused]]="",fate_of_animals[[#This Row],[xs:returned]]="",fate_of_animals[[#This Row],[xs:rehomed]]="")),fill_all_cells_mssg,"")</f>
        <v/>
      </c>
    </row>
    <row r="8" spans="1:6" x14ac:dyDescent="0.3">
      <c r="A8" s="37"/>
      <c r="B8" s="47"/>
      <c r="C8" s="47"/>
      <c r="D8" s="47"/>
      <c r="E8" s="40" t="str">
        <f>IF(AND(fate_of_animals[[#This Row],[xs:species]]&lt;&gt;"",SUM(fate_of_animals[[#This Row],[xs:reused]:[xs:rehomed]])=0),total_number_mssg,IF(AND(fate_of_animals[[#This Row],[xs:species]]="",SUM(fate_of_animals[[#This Row],[xs:reused]:[xs:rehomed]])&gt;0),select_species_mssg,""))</f>
        <v/>
      </c>
      <c r="F8" s="40" t="str">
        <f>IF(AND(fate_of_animals[[#This Row],[xs:species]]&lt;&gt;"",OR(fate_of_animals[[#This Row],[xs:reused]]="",fate_of_animals[[#This Row],[xs:returned]]="",fate_of_animals[[#This Row],[xs:rehomed]]="")),fill_all_cells_mssg,"")</f>
        <v/>
      </c>
    </row>
    <row r="9" spans="1:6" x14ac:dyDescent="0.3">
      <c r="A9" s="37"/>
      <c r="B9" s="47"/>
      <c r="C9" s="47"/>
      <c r="D9" s="47"/>
      <c r="E9" s="40" t="str">
        <f>IF(AND(fate_of_animals[[#This Row],[xs:species]]&lt;&gt;"",SUM(fate_of_animals[[#This Row],[xs:reused]:[xs:rehomed]])=0),total_number_mssg,IF(AND(fate_of_animals[[#This Row],[xs:species]]="",SUM(fate_of_animals[[#This Row],[xs:reused]:[xs:rehomed]])&gt;0),select_species_mssg,""))</f>
        <v/>
      </c>
      <c r="F9" s="40" t="str">
        <f>IF(AND(fate_of_animals[[#This Row],[xs:species]]&lt;&gt;"",OR(fate_of_animals[[#This Row],[xs:reused]]="",fate_of_animals[[#This Row],[xs:returned]]="",fate_of_animals[[#This Row],[xs:rehomed]]="")),fill_all_cells_mssg,"")</f>
        <v/>
      </c>
    </row>
    <row r="10" spans="1:6" x14ac:dyDescent="0.3">
      <c r="A10" s="37"/>
      <c r="B10" s="47"/>
      <c r="C10" s="47"/>
      <c r="D10" s="47"/>
      <c r="E10" s="40" t="str">
        <f>IF(AND(fate_of_animals[[#This Row],[xs:species]]&lt;&gt;"",SUM(fate_of_animals[[#This Row],[xs:reused]:[xs:rehomed]])=0),total_number_mssg,IF(AND(fate_of_animals[[#This Row],[xs:species]]="",SUM(fate_of_animals[[#This Row],[xs:reused]:[xs:rehomed]])&gt;0),select_species_mssg,""))</f>
        <v/>
      </c>
      <c r="F10" s="40" t="str">
        <f>IF(AND(fate_of_animals[[#This Row],[xs:species]]&lt;&gt;"",OR(fate_of_animals[[#This Row],[xs:reused]]="",fate_of_animals[[#This Row],[xs:returned]]="",fate_of_animals[[#This Row],[xs:rehomed]]="")),fill_all_cells_mssg,"")</f>
        <v/>
      </c>
    </row>
    <row r="11" spans="1:6" x14ac:dyDescent="0.3">
      <c r="A11" s="37"/>
      <c r="B11" s="47"/>
      <c r="C11" s="47"/>
      <c r="D11" s="47"/>
      <c r="E11" s="40" t="str">
        <f>IF(AND(fate_of_animals[[#This Row],[xs:species]]&lt;&gt;"",SUM(fate_of_animals[[#This Row],[xs:reused]:[xs:rehomed]])=0),total_number_mssg,IF(AND(fate_of_animals[[#This Row],[xs:species]]="",SUM(fate_of_animals[[#This Row],[xs:reused]:[xs:rehomed]])&gt;0),select_species_mssg,""))</f>
        <v/>
      </c>
      <c r="F11" s="40" t="str">
        <f>IF(AND(fate_of_animals[[#This Row],[xs:species]]&lt;&gt;"",OR(fate_of_animals[[#This Row],[xs:reused]]="",fate_of_animals[[#This Row],[xs:returned]]="",fate_of_animals[[#This Row],[xs:rehomed]]="")),fill_all_cells_mssg,"")</f>
        <v/>
      </c>
    </row>
    <row r="12" spans="1:6" x14ac:dyDescent="0.3">
      <c r="A12" s="37"/>
      <c r="B12" s="47"/>
      <c r="C12" s="47"/>
      <c r="D12" s="47"/>
      <c r="E12" s="40" t="str">
        <f>IF(AND(fate_of_animals[[#This Row],[xs:species]]&lt;&gt;"",SUM(fate_of_animals[[#This Row],[xs:reused]:[xs:rehomed]])=0),total_number_mssg,IF(AND(fate_of_animals[[#This Row],[xs:species]]="",SUM(fate_of_animals[[#This Row],[xs:reused]:[xs:rehomed]])&gt;0),select_species_mssg,""))</f>
        <v/>
      </c>
      <c r="F12" s="40" t="str">
        <f>IF(AND(fate_of_animals[[#This Row],[xs:species]]&lt;&gt;"",OR(fate_of_animals[[#This Row],[xs:reused]]="",fate_of_animals[[#This Row],[xs:returned]]="",fate_of_animals[[#This Row],[xs:rehomed]]="")),fill_all_cells_mssg,"")</f>
        <v/>
      </c>
    </row>
    <row r="13" spans="1:6" x14ac:dyDescent="0.3">
      <c r="A13" s="37"/>
      <c r="B13" s="47"/>
      <c r="C13" s="47"/>
      <c r="D13" s="47"/>
      <c r="E13" s="40" t="str">
        <f>IF(AND(fate_of_animals[[#This Row],[xs:species]]&lt;&gt;"",SUM(fate_of_animals[[#This Row],[xs:reused]:[xs:rehomed]])=0),total_number_mssg,IF(AND(fate_of_animals[[#This Row],[xs:species]]="",SUM(fate_of_animals[[#This Row],[xs:reused]:[xs:rehomed]])&gt;0),select_species_mssg,""))</f>
        <v/>
      </c>
      <c r="F13" s="40" t="str">
        <f>IF(AND(fate_of_animals[[#This Row],[xs:species]]&lt;&gt;"",OR(fate_of_animals[[#This Row],[xs:reused]]="",fate_of_animals[[#This Row],[xs:returned]]="",fate_of_animals[[#This Row],[xs:rehomed]]="")),fill_all_cells_mssg,"")</f>
        <v/>
      </c>
    </row>
    <row r="14" spans="1:6" x14ac:dyDescent="0.3">
      <c r="A14" s="37"/>
      <c r="B14" s="47"/>
      <c r="C14" s="47"/>
      <c r="D14" s="47"/>
      <c r="E14" s="40" t="str">
        <f>IF(AND(fate_of_animals[[#This Row],[xs:species]]&lt;&gt;"",SUM(fate_of_animals[[#This Row],[xs:reused]:[xs:rehomed]])=0),total_number_mssg,IF(AND(fate_of_animals[[#This Row],[xs:species]]="",SUM(fate_of_animals[[#This Row],[xs:reused]:[xs:rehomed]])&gt;0),select_species_mssg,""))</f>
        <v/>
      </c>
      <c r="F14" s="40" t="str">
        <f>IF(AND(fate_of_animals[[#This Row],[xs:species]]&lt;&gt;"",OR(fate_of_animals[[#This Row],[xs:reused]]="",fate_of_animals[[#This Row],[xs:returned]]="",fate_of_animals[[#This Row],[xs:rehomed]]="")),fill_all_cells_mssg,"")</f>
        <v/>
      </c>
    </row>
    <row r="15" spans="1:6" x14ac:dyDescent="0.3">
      <c r="A15" s="37"/>
      <c r="B15" s="47"/>
      <c r="C15" s="47"/>
      <c r="D15" s="47"/>
      <c r="E15" s="40" t="str">
        <f>IF(AND(fate_of_animals[[#This Row],[xs:species]]&lt;&gt;"",SUM(fate_of_animals[[#This Row],[xs:reused]:[xs:rehomed]])=0),total_number_mssg,IF(AND(fate_of_animals[[#This Row],[xs:species]]="",SUM(fate_of_animals[[#This Row],[xs:reused]:[xs:rehomed]])&gt;0),select_species_mssg,""))</f>
        <v/>
      </c>
      <c r="F15" s="40" t="str">
        <f>IF(AND(fate_of_animals[[#This Row],[xs:species]]&lt;&gt;"",OR(fate_of_animals[[#This Row],[xs:reused]]="",fate_of_animals[[#This Row],[xs:returned]]="",fate_of_animals[[#This Row],[xs:rehomed]]="")),fill_all_cells_mssg,"")</f>
        <v/>
      </c>
    </row>
    <row r="16" spans="1:6" x14ac:dyDescent="0.3">
      <c r="A16" s="37"/>
      <c r="B16" s="47"/>
      <c r="C16" s="47"/>
      <c r="D16" s="47"/>
      <c r="E16" s="40" t="str">
        <f>IF(AND(fate_of_animals[[#This Row],[xs:species]]&lt;&gt;"",SUM(fate_of_animals[[#This Row],[xs:reused]:[xs:rehomed]])=0),total_number_mssg,IF(AND(fate_of_animals[[#This Row],[xs:species]]="",SUM(fate_of_animals[[#This Row],[xs:reused]:[xs:rehomed]])&gt;0),select_species_mssg,""))</f>
        <v/>
      </c>
      <c r="F16" s="40" t="str">
        <f>IF(AND(fate_of_animals[[#This Row],[xs:species]]&lt;&gt;"",OR(fate_of_animals[[#This Row],[xs:reused]]="",fate_of_animals[[#This Row],[xs:returned]]="",fate_of_animals[[#This Row],[xs:rehomed]]="")),fill_all_cells_mssg,"")</f>
        <v/>
      </c>
    </row>
    <row r="17" spans="1:6" x14ac:dyDescent="0.3">
      <c r="A17" s="37"/>
      <c r="B17" s="47"/>
      <c r="C17" s="47"/>
      <c r="D17" s="47"/>
      <c r="E17" s="40" t="str">
        <f>IF(AND(fate_of_animals[[#This Row],[xs:species]]&lt;&gt;"",SUM(fate_of_animals[[#This Row],[xs:reused]:[xs:rehomed]])=0),total_number_mssg,IF(AND(fate_of_animals[[#This Row],[xs:species]]="",SUM(fate_of_animals[[#This Row],[xs:reused]:[xs:rehomed]])&gt;0),select_species_mssg,""))</f>
        <v/>
      </c>
      <c r="F17" s="40" t="str">
        <f>IF(AND(fate_of_animals[[#This Row],[xs:species]]&lt;&gt;"",OR(fate_of_animals[[#This Row],[xs:reused]]="",fate_of_animals[[#This Row],[xs:returned]]="",fate_of_animals[[#This Row],[xs:rehomed]]="")),fill_all_cells_mssg,"")</f>
        <v/>
      </c>
    </row>
    <row r="18" spans="1:6" x14ac:dyDescent="0.3">
      <c r="A18" s="37"/>
      <c r="B18" s="47"/>
      <c r="C18" s="47"/>
      <c r="D18" s="47"/>
      <c r="E18" s="40" t="str">
        <f>IF(AND(fate_of_animals[[#This Row],[xs:species]]&lt;&gt;"",SUM(fate_of_animals[[#This Row],[xs:reused]:[xs:rehomed]])=0),total_number_mssg,IF(AND(fate_of_animals[[#This Row],[xs:species]]="",SUM(fate_of_animals[[#This Row],[xs:reused]:[xs:rehomed]])&gt;0),select_species_mssg,""))</f>
        <v/>
      </c>
      <c r="F18" s="40" t="str">
        <f>IF(AND(fate_of_animals[[#This Row],[xs:species]]&lt;&gt;"",OR(fate_of_animals[[#This Row],[xs:reused]]="",fate_of_animals[[#This Row],[xs:returned]]="",fate_of_animals[[#This Row],[xs:rehomed]]="")),fill_all_cells_mssg,"")</f>
        <v/>
      </c>
    </row>
    <row r="19" spans="1:6" x14ac:dyDescent="0.3">
      <c r="A19" s="37"/>
      <c r="B19" s="47"/>
      <c r="C19" s="47"/>
      <c r="D19" s="47"/>
      <c r="E19" s="40" t="str">
        <f>IF(AND(fate_of_animals[[#This Row],[xs:species]]&lt;&gt;"",SUM(fate_of_animals[[#This Row],[xs:reused]:[xs:rehomed]])=0),total_number_mssg,IF(AND(fate_of_animals[[#This Row],[xs:species]]="",SUM(fate_of_animals[[#This Row],[xs:reused]:[xs:rehomed]])&gt;0),select_species_mssg,""))</f>
        <v/>
      </c>
      <c r="F19" s="40" t="str">
        <f>IF(AND(fate_of_animals[[#This Row],[xs:species]]&lt;&gt;"",OR(fate_of_animals[[#This Row],[xs:reused]]="",fate_of_animals[[#This Row],[xs:returned]]="",fate_of_animals[[#This Row],[xs:rehomed]]="")),fill_all_cells_mssg,"")</f>
        <v/>
      </c>
    </row>
    <row r="20" spans="1:6" x14ac:dyDescent="0.3">
      <c r="A20" s="37"/>
      <c r="B20" s="47"/>
      <c r="C20" s="47"/>
      <c r="D20" s="47"/>
      <c r="E20" s="40" t="str">
        <f>IF(AND(fate_of_animals[[#This Row],[xs:species]]&lt;&gt;"",SUM(fate_of_animals[[#This Row],[xs:reused]:[xs:rehomed]])=0),total_number_mssg,IF(AND(fate_of_animals[[#This Row],[xs:species]]="",SUM(fate_of_animals[[#This Row],[xs:reused]:[xs:rehomed]])&gt;0),select_species_mssg,""))</f>
        <v/>
      </c>
      <c r="F20" s="40" t="str">
        <f>IF(AND(fate_of_animals[[#This Row],[xs:species]]&lt;&gt;"",OR(fate_of_animals[[#This Row],[xs:reused]]="",fate_of_animals[[#This Row],[xs:returned]]="",fate_of_animals[[#This Row],[xs:rehomed]]="")),fill_all_cells_mssg,"")</f>
        <v/>
      </c>
    </row>
    <row r="21" spans="1:6" x14ac:dyDescent="0.3">
      <c r="A21" s="37"/>
      <c r="B21" s="47"/>
      <c r="C21" s="47"/>
      <c r="D21" s="47"/>
      <c r="E21" s="40" t="str">
        <f>IF(AND(fate_of_animals[[#This Row],[xs:species]]&lt;&gt;"",SUM(fate_of_animals[[#This Row],[xs:reused]:[xs:rehomed]])=0),total_number_mssg,IF(AND(fate_of_animals[[#This Row],[xs:species]]="",SUM(fate_of_animals[[#This Row],[xs:reused]:[xs:rehomed]])&gt;0),select_species_mssg,""))</f>
        <v/>
      </c>
      <c r="F21" s="40" t="str">
        <f>IF(AND(fate_of_animals[[#This Row],[xs:species]]&lt;&gt;"",OR(fate_of_animals[[#This Row],[xs:reused]]="",fate_of_animals[[#This Row],[xs:returned]]="",fate_of_animals[[#This Row],[xs:rehomed]]="")),fill_all_cells_mssg,"")</f>
        <v/>
      </c>
    </row>
    <row r="22" spans="1:6" x14ac:dyDescent="0.3">
      <c r="A22" s="37"/>
      <c r="B22" s="47"/>
      <c r="C22" s="47"/>
      <c r="D22" s="47"/>
      <c r="E22" s="40" t="str">
        <f>IF(AND(fate_of_animals[[#This Row],[xs:species]]&lt;&gt;"",SUM(fate_of_animals[[#This Row],[xs:reused]:[xs:rehomed]])=0),total_number_mssg,IF(AND(fate_of_animals[[#This Row],[xs:species]]="",SUM(fate_of_animals[[#This Row],[xs:reused]:[xs:rehomed]])&gt;0),select_species_mssg,""))</f>
        <v/>
      </c>
      <c r="F22" s="40" t="str">
        <f>IF(AND(fate_of_animals[[#This Row],[xs:species]]&lt;&gt;"",OR(fate_of_animals[[#This Row],[xs:reused]]="",fate_of_animals[[#This Row],[xs:returned]]="",fate_of_animals[[#This Row],[xs:rehomed]]="")),fill_all_cells_mssg,"")</f>
        <v/>
      </c>
    </row>
    <row r="23" spans="1:6" x14ac:dyDescent="0.3">
      <c r="A23" s="37"/>
      <c r="B23" s="47"/>
      <c r="C23" s="47"/>
      <c r="D23" s="47"/>
      <c r="E23" s="40" t="str">
        <f>IF(AND(fate_of_animals[[#This Row],[xs:species]]&lt;&gt;"",SUM(fate_of_animals[[#This Row],[xs:reused]:[xs:rehomed]])=0),total_number_mssg,IF(AND(fate_of_animals[[#This Row],[xs:species]]="",SUM(fate_of_animals[[#This Row],[xs:reused]:[xs:rehomed]])&gt;0),select_species_mssg,""))</f>
        <v/>
      </c>
      <c r="F23" s="40" t="str">
        <f>IF(AND(fate_of_animals[[#This Row],[xs:species]]&lt;&gt;"",OR(fate_of_animals[[#This Row],[xs:reused]]="",fate_of_animals[[#This Row],[xs:returned]]="",fate_of_animals[[#This Row],[xs:rehomed]]="")),fill_all_cells_mssg,"")</f>
        <v/>
      </c>
    </row>
    <row r="24" spans="1:6" x14ac:dyDescent="0.3">
      <c r="A24" s="37"/>
      <c r="B24" s="47"/>
      <c r="C24" s="47"/>
      <c r="D24" s="47"/>
      <c r="E24" s="40" t="str">
        <f>IF(AND(fate_of_animals[[#This Row],[xs:species]]&lt;&gt;"",SUM(fate_of_animals[[#This Row],[xs:reused]:[xs:rehomed]])=0),total_number_mssg,IF(AND(fate_of_animals[[#This Row],[xs:species]]="",SUM(fate_of_animals[[#This Row],[xs:reused]:[xs:rehomed]])&gt;0),select_species_mssg,""))</f>
        <v/>
      </c>
      <c r="F24" s="40" t="str">
        <f>IF(AND(fate_of_animals[[#This Row],[xs:species]]&lt;&gt;"",OR(fate_of_animals[[#This Row],[xs:reused]]="",fate_of_animals[[#This Row],[xs:returned]]="",fate_of_animals[[#This Row],[xs:rehomed]]="")),fill_all_cells_mssg,"")</f>
        <v/>
      </c>
    </row>
    <row r="25" spans="1:6" x14ac:dyDescent="0.3">
      <c r="A25" s="37"/>
      <c r="B25" s="47"/>
      <c r="C25" s="47"/>
      <c r="D25" s="47"/>
      <c r="E25" s="40" t="str">
        <f>IF(AND(fate_of_animals[[#This Row],[xs:species]]&lt;&gt;"",SUM(fate_of_animals[[#This Row],[xs:reused]:[xs:rehomed]])=0),total_number_mssg,IF(AND(fate_of_animals[[#This Row],[xs:species]]="",SUM(fate_of_animals[[#This Row],[xs:reused]:[xs:rehomed]])&gt;0),select_species_mssg,""))</f>
        <v/>
      </c>
      <c r="F25" s="40" t="str">
        <f>IF(AND(fate_of_animals[[#This Row],[xs:species]]&lt;&gt;"",OR(fate_of_animals[[#This Row],[xs:reused]]="",fate_of_animals[[#This Row],[xs:returned]]="",fate_of_animals[[#This Row],[xs:rehomed]]="")),fill_all_cells_mssg,"")</f>
        <v/>
      </c>
    </row>
    <row r="26" spans="1:6" x14ac:dyDescent="0.3">
      <c r="A26" s="37"/>
      <c r="B26" s="47"/>
      <c r="C26" s="47"/>
      <c r="D26" s="47"/>
      <c r="E26" s="40" t="str">
        <f>IF(AND(fate_of_animals[[#This Row],[xs:species]]&lt;&gt;"",SUM(fate_of_animals[[#This Row],[xs:reused]:[xs:rehomed]])=0),total_number_mssg,IF(AND(fate_of_animals[[#This Row],[xs:species]]="",SUM(fate_of_animals[[#This Row],[xs:reused]:[xs:rehomed]])&gt;0),select_species_mssg,""))</f>
        <v/>
      </c>
      <c r="F26" s="40" t="str">
        <f>IF(AND(fate_of_animals[[#This Row],[xs:species]]&lt;&gt;"",OR(fate_of_animals[[#This Row],[xs:reused]]="",fate_of_animals[[#This Row],[xs:returned]]="",fate_of_animals[[#This Row],[xs:rehomed]]="")),fill_all_cells_mssg,"")</f>
        <v/>
      </c>
    </row>
    <row r="27" spans="1:6" x14ac:dyDescent="0.3">
      <c r="A27" s="37"/>
      <c r="B27" s="47"/>
      <c r="C27" s="47"/>
      <c r="D27" s="47"/>
      <c r="E27" s="40" t="str">
        <f>IF(AND(fate_of_animals[[#This Row],[xs:species]]&lt;&gt;"",SUM(fate_of_animals[[#This Row],[xs:reused]:[xs:rehomed]])=0),total_number_mssg,IF(AND(fate_of_animals[[#This Row],[xs:species]]="",SUM(fate_of_animals[[#This Row],[xs:reused]:[xs:rehomed]])&gt;0),select_species_mssg,""))</f>
        <v/>
      </c>
      <c r="F27" s="40" t="str">
        <f>IF(AND(fate_of_animals[[#This Row],[xs:species]]&lt;&gt;"",OR(fate_of_animals[[#This Row],[xs:reused]]="",fate_of_animals[[#This Row],[xs:returned]]="",fate_of_animals[[#This Row],[xs:rehomed]]="")),fill_all_cells_mssg,"")</f>
        <v/>
      </c>
    </row>
    <row r="28" spans="1:6" x14ac:dyDescent="0.3">
      <c r="A28" s="37"/>
      <c r="B28" s="47"/>
      <c r="C28" s="47"/>
      <c r="D28" s="47"/>
      <c r="E28" s="40" t="str">
        <f>IF(AND(fate_of_animals[[#This Row],[xs:species]]&lt;&gt;"",SUM(fate_of_animals[[#This Row],[xs:reused]:[xs:rehomed]])=0),total_number_mssg,IF(AND(fate_of_animals[[#This Row],[xs:species]]="",SUM(fate_of_animals[[#This Row],[xs:reused]:[xs:rehomed]])&gt;0),select_species_mssg,""))</f>
        <v/>
      </c>
      <c r="F28" s="40" t="str">
        <f>IF(AND(fate_of_animals[[#This Row],[xs:species]]&lt;&gt;"",OR(fate_of_animals[[#This Row],[xs:reused]]="",fate_of_animals[[#This Row],[xs:returned]]="",fate_of_animals[[#This Row],[xs:rehomed]]="")),fill_all_cells_mssg,"")</f>
        <v/>
      </c>
    </row>
    <row r="29" spans="1:6" x14ac:dyDescent="0.3">
      <c r="A29" s="37"/>
      <c r="B29" s="47"/>
      <c r="C29" s="47"/>
      <c r="D29" s="47"/>
      <c r="E29" s="40" t="str">
        <f>IF(AND(fate_of_animals[[#This Row],[xs:species]]&lt;&gt;"",SUM(fate_of_animals[[#This Row],[xs:reused]:[xs:rehomed]])=0),total_number_mssg,IF(AND(fate_of_animals[[#This Row],[xs:species]]="",SUM(fate_of_animals[[#This Row],[xs:reused]:[xs:rehomed]])&gt;0),select_species_mssg,""))</f>
        <v/>
      </c>
      <c r="F29" s="40" t="str">
        <f>IF(AND(fate_of_animals[[#This Row],[xs:species]]&lt;&gt;"",OR(fate_of_animals[[#This Row],[xs:reused]]="",fate_of_animals[[#This Row],[xs:returned]]="",fate_of_animals[[#This Row],[xs:rehomed]]="")),fill_all_cells_mssg,"")</f>
        <v/>
      </c>
    </row>
    <row r="30" spans="1:6" x14ac:dyDescent="0.3">
      <c r="A30" s="37"/>
      <c r="B30" s="47"/>
      <c r="C30" s="47"/>
      <c r="D30" s="47"/>
      <c r="E30" s="40" t="str">
        <f>IF(AND(fate_of_animals[[#This Row],[xs:species]]&lt;&gt;"",SUM(fate_of_animals[[#This Row],[xs:reused]:[xs:rehomed]])=0),total_number_mssg,IF(AND(fate_of_animals[[#This Row],[xs:species]]="",SUM(fate_of_animals[[#This Row],[xs:reused]:[xs:rehomed]])&gt;0),select_species_mssg,""))</f>
        <v/>
      </c>
      <c r="F30" s="40" t="str">
        <f>IF(AND(fate_of_animals[[#This Row],[xs:species]]&lt;&gt;"",OR(fate_of_animals[[#This Row],[xs:reused]]="",fate_of_animals[[#This Row],[xs:returned]]="",fate_of_animals[[#This Row],[xs:rehomed]]="")),fill_all_cells_mssg,"")</f>
        <v/>
      </c>
    </row>
    <row r="31" spans="1:6" x14ac:dyDescent="0.3">
      <c r="A31" s="37"/>
      <c r="B31" s="47"/>
      <c r="C31" s="47"/>
      <c r="D31" s="47"/>
      <c r="E31" s="40" t="str">
        <f>IF(AND(fate_of_animals[[#This Row],[xs:species]]&lt;&gt;"",SUM(fate_of_animals[[#This Row],[xs:reused]:[xs:rehomed]])=0),total_number_mssg,IF(AND(fate_of_animals[[#This Row],[xs:species]]="",SUM(fate_of_animals[[#This Row],[xs:reused]:[xs:rehomed]])&gt;0),select_species_mssg,""))</f>
        <v/>
      </c>
      <c r="F31" s="40" t="str">
        <f>IF(AND(fate_of_animals[[#This Row],[xs:species]]&lt;&gt;"",OR(fate_of_animals[[#This Row],[xs:reused]]="",fate_of_animals[[#This Row],[xs:returned]]="",fate_of_animals[[#This Row],[xs:rehomed]]="")),fill_all_cells_mssg,"")</f>
        <v/>
      </c>
    </row>
    <row r="32" spans="1:6" x14ac:dyDescent="0.3">
      <c r="A32" s="37"/>
      <c r="B32" s="47"/>
      <c r="C32" s="47"/>
      <c r="D32" s="47"/>
      <c r="E32" s="40" t="str">
        <f>IF(AND(fate_of_animals[[#This Row],[xs:species]]&lt;&gt;"",SUM(fate_of_animals[[#This Row],[xs:reused]:[xs:rehomed]])=0),total_number_mssg,IF(AND(fate_of_animals[[#This Row],[xs:species]]="",SUM(fate_of_animals[[#This Row],[xs:reused]:[xs:rehomed]])&gt;0),select_species_mssg,""))</f>
        <v/>
      </c>
      <c r="F32" s="40" t="str">
        <f>IF(AND(fate_of_animals[[#This Row],[xs:species]]&lt;&gt;"",OR(fate_of_animals[[#This Row],[xs:reused]]="",fate_of_animals[[#This Row],[xs:returned]]="",fate_of_animals[[#This Row],[xs:rehomed]]="")),fill_all_cells_mssg,"")</f>
        <v/>
      </c>
    </row>
    <row r="33" spans="1:6" x14ac:dyDescent="0.3">
      <c r="A33" s="37"/>
      <c r="B33" s="47"/>
      <c r="C33" s="47"/>
      <c r="D33" s="47"/>
      <c r="E33" s="40" t="str">
        <f>IF(AND(fate_of_animals[[#This Row],[xs:species]]&lt;&gt;"",SUM(fate_of_animals[[#This Row],[xs:reused]:[xs:rehomed]])=0),total_number_mssg,IF(AND(fate_of_animals[[#This Row],[xs:species]]="",SUM(fate_of_animals[[#This Row],[xs:reused]:[xs:rehomed]])&gt;0),select_species_mssg,""))</f>
        <v/>
      </c>
      <c r="F33" s="40" t="str">
        <f>IF(AND(fate_of_animals[[#This Row],[xs:species]]&lt;&gt;"",OR(fate_of_animals[[#This Row],[xs:reused]]="",fate_of_animals[[#This Row],[xs:returned]]="",fate_of_animals[[#This Row],[xs:rehomed]]="")),fill_all_cells_mssg,"")</f>
        <v/>
      </c>
    </row>
    <row r="34" spans="1:6" x14ac:dyDescent="0.3">
      <c r="A34" s="37"/>
      <c r="B34" s="47"/>
      <c r="C34" s="47"/>
      <c r="D34" s="47"/>
      <c r="E34" s="40" t="str">
        <f>IF(AND(fate_of_animals[[#This Row],[xs:species]]&lt;&gt;"",SUM(fate_of_animals[[#This Row],[xs:reused]:[xs:rehomed]])=0),total_number_mssg,IF(AND(fate_of_animals[[#This Row],[xs:species]]="",SUM(fate_of_animals[[#This Row],[xs:reused]:[xs:rehomed]])&gt;0),select_species_mssg,""))</f>
        <v/>
      </c>
      <c r="F34" s="40" t="str">
        <f>IF(AND(fate_of_animals[[#This Row],[xs:species]]&lt;&gt;"",OR(fate_of_animals[[#This Row],[xs:reused]]="",fate_of_animals[[#This Row],[xs:returned]]="",fate_of_animals[[#This Row],[xs:rehomed]]="")),fill_all_cells_mssg,"")</f>
        <v/>
      </c>
    </row>
    <row r="35" spans="1:6" x14ac:dyDescent="0.3">
      <c r="A35" s="37"/>
      <c r="B35" s="47"/>
      <c r="C35" s="47"/>
      <c r="D35" s="47"/>
      <c r="E35" s="40" t="str">
        <f>IF(AND(fate_of_animals[[#This Row],[xs:species]]&lt;&gt;"",SUM(fate_of_animals[[#This Row],[xs:reused]:[xs:rehomed]])=0),total_number_mssg,IF(AND(fate_of_animals[[#This Row],[xs:species]]="",SUM(fate_of_animals[[#This Row],[xs:reused]:[xs:rehomed]])&gt;0),select_species_mssg,""))</f>
        <v/>
      </c>
      <c r="F35" s="40" t="str">
        <f>IF(AND(fate_of_animals[[#This Row],[xs:species]]&lt;&gt;"",OR(fate_of_animals[[#This Row],[xs:reused]]="",fate_of_animals[[#This Row],[xs:returned]]="",fate_of_animals[[#This Row],[xs:rehomed]]="")),fill_all_cells_mssg,"")</f>
        <v/>
      </c>
    </row>
    <row r="36" spans="1:6" x14ac:dyDescent="0.3">
      <c r="A36" s="37"/>
      <c r="B36" s="47"/>
      <c r="C36" s="47"/>
      <c r="D36" s="47"/>
      <c r="E36" s="40" t="str">
        <f>IF(AND(fate_of_animals[[#This Row],[xs:species]]&lt;&gt;"",SUM(fate_of_animals[[#This Row],[xs:reused]:[xs:rehomed]])=0),total_number_mssg,IF(AND(fate_of_animals[[#This Row],[xs:species]]="",SUM(fate_of_animals[[#This Row],[xs:reused]:[xs:rehomed]])&gt;0),select_species_mssg,""))</f>
        <v/>
      </c>
      <c r="F36" s="40" t="str">
        <f>IF(AND(fate_of_animals[[#This Row],[xs:species]]&lt;&gt;"",OR(fate_of_animals[[#This Row],[xs:reused]]="",fate_of_animals[[#This Row],[xs:returned]]="",fate_of_animals[[#This Row],[xs:rehomed]]="")),fill_all_cells_mssg,"")</f>
        <v/>
      </c>
    </row>
    <row r="37" spans="1:6" x14ac:dyDescent="0.3">
      <c r="A37" s="37"/>
      <c r="B37" s="47"/>
      <c r="C37" s="47"/>
      <c r="D37" s="47"/>
      <c r="E37" s="40" t="str">
        <f>IF(AND(fate_of_animals[[#This Row],[xs:species]]&lt;&gt;"",SUM(fate_of_animals[[#This Row],[xs:reused]:[xs:rehomed]])=0),total_number_mssg,IF(AND(fate_of_animals[[#This Row],[xs:species]]="",SUM(fate_of_animals[[#This Row],[xs:reused]:[xs:rehomed]])&gt;0),select_species_mssg,""))</f>
        <v/>
      </c>
      <c r="F37" s="40" t="str">
        <f>IF(AND(fate_of_animals[[#This Row],[xs:species]]&lt;&gt;"",OR(fate_of_animals[[#This Row],[xs:reused]]="",fate_of_animals[[#This Row],[xs:returned]]="",fate_of_animals[[#This Row],[xs:rehomed]]="")),fill_all_cells_mssg,"")</f>
        <v/>
      </c>
    </row>
    <row r="38" spans="1:6" x14ac:dyDescent="0.3">
      <c r="A38" s="37"/>
      <c r="B38" s="47"/>
      <c r="C38" s="47"/>
      <c r="D38" s="47"/>
      <c r="E38" s="40" t="str">
        <f>IF(AND(fate_of_animals[[#This Row],[xs:species]]&lt;&gt;"",SUM(fate_of_animals[[#This Row],[xs:reused]:[xs:rehomed]])=0),total_number_mssg,IF(AND(fate_of_animals[[#This Row],[xs:species]]="",SUM(fate_of_animals[[#This Row],[xs:reused]:[xs:rehomed]])&gt;0),select_species_mssg,""))</f>
        <v/>
      </c>
      <c r="F38" s="40" t="str">
        <f>IF(AND(fate_of_animals[[#This Row],[xs:species]]&lt;&gt;"",OR(fate_of_animals[[#This Row],[xs:reused]]="",fate_of_animals[[#This Row],[xs:returned]]="",fate_of_animals[[#This Row],[xs:rehomed]]="")),fill_all_cells_mssg,"")</f>
        <v/>
      </c>
    </row>
    <row r="39" spans="1:6" x14ac:dyDescent="0.3">
      <c r="A39" s="37"/>
      <c r="B39" s="47"/>
      <c r="C39" s="47"/>
      <c r="D39" s="47"/>
      <c r="E39" s="40" t="str">
        <f>IF(AND(fate_of_animals[[#This Row],[xs:species]]&lt;&gt;"",SUM(fate_of_animals[[#This Row],[xs:reused]:[xs:rehomed]])=0),total_number_mssg,IF(AND(fate_of_animals[[#This Row],[xs:species]]="",SUM(fate_of_animals[[#This Row],[xs:reused]:[xs:rehomed]])&gt;0),select_species_mssg,""))</f>
        <v/>
      </c>
      <c r="F39" s="40" t="str">
        <f>IF(AND(fate_of_animals[[#This Row],[xs:species]]&lt;&gt;"",OR(fate_of_animals[[#This Row],[xs:reused]]="",fate_of_animals[[#This Row],[xs:returned]]="",fate_of_animals[[#This Row],[xs:rehomed]]="")),fill_all_cells_mssg,"")</f>
        <v/>
      </c>
    </row>
    <row r="40" spans="1:6" x14ac:dyDescent="0.3">
      <c r="A40" s="37"/>
      <c r="B40" s="47"/>
      <c r="C40" s="47"/>
      <c r="D40" s="47"/>
      <c r="E40" s="40" t="str">
        <f>IF(AND(fate_of_animals[[#This Row],[xs:species]]&lt;&gt;"",SUM(fate_of_animals[[#This Row],[xs:reused]:[xs:rehomed]])=0),total_number_mssg,IF(AND(fate_of_animals[[#This Row],[xs:species]]="",SUM(fate_of_animals[[#This Row],[xs:reused]:[xs:rehomed]])&gt;0),select_species_mssg,""))</f>
        <v/>
      </c>
      <c r="F40" s="40" t="str">
        <f>IF(AND(fate_of_animals[[#This Row],[xs:species]]&lt;&gt;"",OR(fate_of_animals[[#This Row],[xs:reused]]="",fate_of_animals[[#This Row],[xs:returned]]="",fate_of_animals[[#This Row],[xs:rehomed]]="")),fill_all_cells_mssg,"")</f>
        <v/>
      </c>
    </row>
    <row r="41" spans="1:6" x14ac:dyDescent="0.3">
      <c r="A41" s="37"/>
      <c r="B41" s="47"/>
      <c r="C41" s="47"/>
      <c r="D41" s="47"/>
      <c r="E41" s="40" t="str">
        <f>IF(AND(fate_of_animals[[#This Row],[xs:species]]&lt;&gt;"",SUM(fate_of_animals[[#This Row],[xs:reused]:[xs:rehomed]])=0),total_number_mssg,IF(AND(fate_of_animals[[#This Row],[xs:species]]="",SUM(fate_of_animals[[#This Row],[xs:reused]:[xs:rehomed]])&gt;0),select_species_mssg,""))</f>
        <v/>
      </c>
      <c r="F41" s="40" t="str">
        <f>IF(AND(fate_of_animals[[#This Row],[xs:species]]&lt;&gt;"",OR(fate_of_animals[[#This Row],[xs:reused]]="",fate_of_animals[[#This Row],[xs:returned]]="",fate_of_animals[[#This Row],[xs:rehomed]]="")),fill_all_cells_mssg,"")</f>
        <v/>
      </c>
    </row>
    <row r="42" spans="1:6" x14ac:dyDescent="0.3">
      <c r="A42" s="37"/>
      <c r="B42" s="47"/>
      <c r="C42" s="47"/>
      <c r="D42" s="47"/>
      <c r="E42" s="40" t="str">
        <f>IF(AND(fate_of_animals[[#This Row],[xs:species]]&lt;&gt;"",SUM(fate_of_animals[[#This Row],[xs:reused]:[xs:rehomed]])=0),total_number_mssg,IF(AND(fate_of_animals[[#This Row],[xs:species]]="",SUM(fate_of_animals[[#This Row],[xs:reused]:[xs:rehomed]])&gt;0),select_species_mssg,""))</f>
        <v/>
      </c>
      <c r="F42" s="40"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2" priority="2"/>
  </conditionalFormatting>
  <conditionalFormatting sqref="E4:E42">
    <cfRule type="expression" dxfId="1" priority="3">
      <formula>LEN(TRIM(E4))&gt;0</formula>
    </cfRule>
  </conditionalFormatting>
  <conditionalFormatting sqref="F4:F42">
    <cfRule type="expression" dxfId="0" priority="4">
      <formula>LEN(TRIM(F4))&gt;0</formula>
    </cfRule>
  </conditionalFormatting>
  <dataValidations count="2">
    <dataValidation type="list" allowBlank="1" showInputMessage="1" showErrorMessage="1" sqref="A4:A42" xr:uid="{00000000-0002-0000-0300-000000000000}">
      <formula1>speciesShown</formula1>
      <formula2>0</formula2>
    </dataValidation>
    <dataValidation type="whole" operator="greaterThanOrEqual" allowBlank="1" showInputMessage="1" showErrorMessage="1" sqref="B4:D42" xr:uid="{00000000-0002-0000-0300-000001000000}">
      <formula1>0</formula1>
      <formula2>0</formula2>
    </dataValidation>
  </dataValidation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K225"/>
  <sheetViews>
    <sheetView topLeftCell="A100" zoomScaleNormal="100" workbookViewId="0">
      <selection activeCell="H118" sqref="H118"/>
    </sheetView>
  </sheetViews>
  <sheetFormatPr defaultRowHeight="14.4" x14ac:dyDescent="0.3"/>
  <cols>
    <col min="1" max="1" width="26.33203125" style="39" customWidth="1"/>
    <col min="2" max="2" width="26.6640625" style="39" customWidth="1"/>
    <col min="3" max="3" width="98.44140625" style="39" customWidth="1"/>
    <col min="4" max="4" width="9.33203125" style="39" customWidth="1"/>
    <col min="5" max="5" width="8.6640625" style="39" customWidth="1"/>
    <col min="6" max="6" width="8.5546875" style="39" customWidth="1"/>
    <col min="7" max="7" width="8.44140625" style="39" customWidth="1"/>
    <col min="8" max="10" width="9" style="39" customWidth="1"/>
    <col min="11" max="11" width="15" style="39" customWidth="1"/>
    <col min="12" max="1025" width="9" style="39" customWidth="1"/>
  </cols>
  <sheetData>
    <row r="2" spans="1:28" s="51" customFormat="1" x14ac:dyDescent="0.3">
      <c r="A2" s="50" t="s">
        <v>54</v>
      </c>
      <c r="D2" s="52" t="s">
        <v>55</v>
      </c>
      <c r="E2" s="53" t="s">
        <v>56</v>
      </c>
      <c r="F2" s="53" t="s">
        <v>57</v>
      </c>
      <c r="G2" s="53" t="s">
        <v>58</v>
      </c>
      <c r="H2" s="53" t="s">
        <v>59</v>
      </c>
      <c r="I2" s="53" t="s">
        <v>60</v>
      </c>
      <c r="J2" s="53" t="s">
        <v>61</v>
      </c>
      <c r="K2" s="53" t="s">
        <v>62</v>
      </c>
      <c r="L2" s="53" t="s">
        <v>63</v>
      </c>
      <c r="M2" s="53" t="s">
        <v>64</v>
      </c>
      <c r="N2" s="53" t="s">
        <v>65</v>
      </c>
      <c r="O2" s="53" t="s">
        <v>66</v>
      </c>
      <c r="P2" s="53" t="s">
        <v>5</v>
      </c>
      <c r="Q2" s="53" t="s">
        <v>67</v>
      </c>
      <c r="R2" s="53" t="s">
        <v>68</v>
      </c>
      <c r="S2" s="53" t="s">
        <v>69</v>
      </c>
      <c r="T2" s="53" t="s">
        <v>70</v>
      </c>
      <c r="U2" s="53" t="s">
        <v>71</v>
      </c>
      <c r="V2" s="53" t="s">
        <v>72</v>
      </c>
      <c r="W2" s="53" t="s">
        <v>73</v>
      </c>
      <c r="X2" s="53" t="s">
        <v>74</v>
      </c>
      <c r="Y2" s="53" t="s">
        <v>75</v>
      </c>
      <c r="Z2" s="53" t="s">
        <v>76</v>
      </c>
      <c r="AA2" s="53" t="s">
        <v>77</v>
      </c>
      <c r="AB2" s="54" t="s">
        <v>78</v>
      </c>
    </row>
    <row r="3" spans="1:28" x14ac:dyDescent="0.3">
      <c r="D3" s="55"/>
      <c r="E3" s="55"/>
      <c r="F3" s="55"/>
      <c r="G3" s="55"/>
      <c r="H3" s="55"/>
      <c r="I3" s="55"/>
      <c r="J3" s="55"/>
      <c r="K3" s="55"/>
      <c r="L3" s="55"/>
      <c r="M3" s="55"/>
      <c r="N3" s="55"/>
      <c r="O3" s="55"/>
      <c r="P3" s="55"/>
      <c r="Q3" s="55"/>
      <c r="R3" s="55"/>
      <c r="S3" s="55"/>
      <c r="T3" s="55"/>
      <c r="U3" s="55"/>
      <c r="V3" s="55"/>
      <c r="W3" s="55"/>
      <c r="X3" s="55"/>
      <c r="Y3" s="55"/>
      <c r="Z3" s="55"/>
      <c r="AA3" s="55"/>
      <c r="AB3" s="55"/>
    </row>
    <row r="4" spans="1:28" x14ac:dyDescent="0.3">
      <c r="A4" s="51" t="s">
        <v>79</v>
      </c>
      <c r="B4" s="51" t="s">
        <v>80</v>
      </c>
      <c r="D4" s="56" t="str">
        <f t="shared" ref="D4:AB4" si="0">languages</f>
        <v>bg</v>
      </c>
      <c r="E4" s="57" t="str">
        <f t="shared" si="0"/>
        <v>cs</v>
      </c>
      <c r="F4" s="57" t="str">
        <f t="shared" si="0"/>
        <v>da</v>
      </c>
      <c r="G4" s="57" t="str">
        <f t="shared" si="0"/>
        <v>de</v>
      </c>
      <c r="H4" s="57" t="str">
        <f t="shared" si="0"/>
        <v>el</v>
      </c>
      <c r="I4" s="57" t="str">
        <f t="shared" si="0"/>
        <v>en</v>
      </c>
      <c r="J4" s="57" t="str">
        <f t="shared" si="0"/>
        <v>es</v>
      </c>
      <c r="K4" s="57" t="str">
        <f t="shared" si="0"/>
        <v>et</v>
      </c>
      <c r="L4" s="57" t="str">
        <f t="shared" si="0"/>
        <v>fi</v>
      </c>
      <c r="M4" s="57" t="str">
        <f t="shared" si="0"/>
        <v>fr</v>
      </c>
      <c r="N4" s="57" t="str">
        <f t="shared" si="0"/>
        <v>ga</v>
      </c>
      <c r="O4" s="57" t="str">
        <f t="shared" si="0"/>
        <v>hr</v>
      </c>
      <c r="P4" s="57" t="str">
        <f t="shared" si="0"/>
        <v>hu</v>
      </c>
      <c r="Q4" s="57" t="str">
        <f t="shared" si="0"/>
        <v>it</v>
      </c>
      <c r="R4" s="57" t="str">
        <f t="shared" si="0"/>
        <v>lt</v>
      </c>
      <c r="S4" s="57" t="str">
        <f t="shared" si="0"/>
        <v>lv</v>
      </c>
      <c r="T4" s="57" t="str">
        <f t="shared" si="0"/>
        <v>mt</v>
      </c>
      <c r="U4" s="57" t="str">
        <f t="shared" si="0"/>
        <v>nl</v>
      </c>
      <c r="V4" s="57" t="str">
        <f t="shared" si="0"/>
        <v>pl</v>
      </c>
      <c r="W4" s="57" t="str">
        <f t="shared" si="0"/>
        <v>pt</v>
      </c>
      <c r="X4" s="57" t="str">
        <f t="shared" si="0"/>
        <v>ro</v>
      </c>
      <c r="Y4" s="57" t="str">
        <f t="shared" si="0"/>
        <v>sk</v>
      </c>
      <c r="Z4" s="57" t="str">
        <f t="shared" si="0"/>
        <v>sl</v>
      </c>
      <c r="AA4" s="57" t="str">
        <f t="shared" si="0"/>
        <v>sv</v>
      </c>
      <c r="AB4" s="58" t="str">
        <f t="shared" si="0"/>
        <v>no</v>
      </c>
    </row>
    <row r="5" spans="1:28" x14ac:dyDescent="0.3">
      <c r="A5" s="55" t="s">
        <v>81</v>
      </c>
      <c r="B5" s="39" t="str">
        <f t="shared" ref="B5:B14" si="1">IF(TRIM(HLOOKUP(language_or_default,purposeCategoryTranslations,MATCH(A5,purposeCategories,0),0))="",HLOOKUP("en",purposeCategoryTranslations,MATCH(A5,purposeCategories,0),0),HLOOKUP(language_or_default,purposeCategoryTranslations,MATCH(A5,purposeCategories,0),0))</f>
        <v>Alapkutatás</v>
      </c>
      <c r="D5" s="59" t="s">
        <v>82</v>
      </c>
      <c r="E5" s="60" t="s">
        <v>83</v>
      </c>
      <c r="F5" s="61" t="s">
        <v>84</v>
      </c>
      <c r="G5" s="60" t="s">
        <v>85</v>
      </c>
      <c r="H5" s="60" t="s">
        <v>86</v>
      </c>
      <c r="I5" s="55" t="s">
        <v>87</v>
      </c>
      <c r="J5" s="60" t="s">
        <v>88</v>
      </c>
      <c r="K5" s="60" t="s">
        <v>89</v>
      </c>
      <c r="L5" s="60" t="s">
        <v>90</v>
      </c>
      <c r="M5" s="60" t="s">
        <v>91</v>
      </c>
      <c r="N5" s="60"/>
      <c r="O5" s="60" t="s">
        <v>92</v>
      </c>
      <c r="P5" s="60" t="s">
        <v>93</v>
      </c>
      <c r="Q5" s="60" t="s">
        <v>94</v>
      </c>
      <c r="R5" s="60" t="s">
        <v>95</v>
      </c>
      <c r="S5" s="60" t="s">
        <v>96</v>
      </c>
      <c r="T5" s="60" t="s">
        <v>97</v>
      </c>
      <c r="U5" s="60" t="s">
        <v>98</v>
      </c>
      <c r="V5" s="61" t="s">
        <v>99</v>
      </c>
      <c r="W5" s="60" t="s">
        <v>100</v>
      </c>
      <c r="X5" s="60" t="s">
        <v>101</v>
      </c>
      <c r="Y5" s="60" t="s">
        <v>102</v>
      </c>
      <c r="Z5" s="60" t="s">
        <v>103</v>
      </c>
      <c r="AA5" s="60" t="s">
        <v>84</v>
      </c>
      <c r="AB5" s="62" t="s">
        <v>104</v>
      </c>
    </row>
    <row r="6" spans="1:28" x14ac:dyDescent="0.3">
      <c r="A6" s="55" t="s">
        <v>105</v>
      </c>
      <c r="B6" s="39" t="str">
        <f t="shared" si="1"/>
        <v>Transzlációs és alkalmazott kutatás</v>
      </c>
      <c r="D6" s="59" t="s">
        <v>106</v>
      </c>
      <c r="E6" s="60" t="s">
        <v>107</v>
      </c>
      <c r="F6" s="61" t="s">
        <v>108</v>
      </c>
      <c r="G6" s="60" t="s">
        <v>109</v>
      </c>
      <c r="H6" s="60" t="s">
        <v>110</v>
      </c>
      <c r="I6" s="55" t="s">
        <v>111</v>
      </c>
      <c r="J6" s="60" t="s">
        <v>112</v>
      </c>
      <c r="K6" s="60" t="s">
        <v>113</v>
      </c>
      <c r="L6" s="60" t="s">
        <v>114</v>
      </c>
      <c r="M6" s="60" t="s">
        <v>115</v>
      </c>
      <c r="N6" s="60"/>
      <c r="O6" s="60" t="s">
        <v>116</v>
      </c>
      <c r="P6" s="60" t="s">
        <v>117</v>
      </c>
      <c r="Q6" s="60" t="s">
        <v>118</v>
      </c>
      <c r="R6" s="60" t="s">
        <v>119</v>
      </c>
      <c r="S6" s="60" t="s">
        <v>120</v>
      </c>
      <c r="T6" s="60" t="s">
        <v>121</v>
      </c>
      <c r="U6" s="60" t="s">
        <v>122</v>
      </c>
      <c r="V6" s="61" t="s">
        <v>123</v>
      </c>
      <c r="W6" s="60" t="s">
        <v>124</v>
      </c>
      <c r="X6" s="60" t="s">
        <v>125</v>
      </c>
      <c r="Y6" s="60" t="s">
        <v>126</v>
      </c>
      <c r="Z6" s="60" t="s">
        <v>127</v>
      </c>
      <c r="AA6" s="60" t="s">
        <v>128</v>
      </c>
      <c r="AB6" s="62" t="s">
        <v>129</v>
      </c>
    </row>
    <row r="7" spans="1:28" x14ac:dyDescent="0.3">
      <c r="A7" s="55" t="s">
        <v>130</v>
      </c>
      <c r="B7" s="39" t="str">
        <f t="shared" si="1"/>
        <v>Hatósági vizsgálatok és rutinszerű gyártás</v>
      </c>
      <c r="D7" s="59" t="s">
        <v>131</v>
      </c>
      <c r="E7" s="60" t="s">
        <v>132</v>
      </c>
      <c r="F7" s="61" t="s">
        <v>133</v>
      </c>
      <c r="G7" s="60" t="s">
        <v>134</v>
      </c>
      <c r="H7" s="60" t="s">
        <v>135</v>
      </c>
      <c r="I7" s="55" t="s">
        <v>136</v>
      </c>
      <c r="J7" s="60" t="s">
        <v>137</v>
      </c>
      <c r="K7" s="60" t="s">
        <v>138</v>
      </c>
      <c r="L7" s="60" t="s">
        <v>139</v>
      </c>
      <c r="M7" s="60" t="s">
        <v>140</v>
      </c>
      <c r="N7" s="60"/>
      <c r="O7" s="60" t="s">
        <v>141</v>
      </c>
      <c r="P7" s="60" t="s">
        <v>142</v>
      </c>
      <c r="Q7" s="60" t="s">
        <v>143</v>
      </c>
      <c r="R7" s="60" t="s">
        <v>144</v>
      </c>
      <c r="S7" s="60" t="s">
        <v>145</v>
      </c>
      <c r="T7" s="60" t="s">
        <v>146</v>
      </c>
      <c r="U7" s="60" t="s">
        <v>147</v>
      </c>
      <c r="V7" s="61" t="s">
        <v>148</v>
      </c>
      <c r="W7" s="60" t="s">
        <v>149</v>
      </c>
      <c r="X7" s="60" t="s">
        <v>150</v>
      </c>
      <c r="Y7" s="60" t="s">
        <v>151</v>
      </c>
      <c r="Z7" s="60" t="s">
        <v>152</v>
      </c>
      <c r="AA7" s="60" t="s">
        <v>153</v>
      </c>
      <c r="AB7" s="62" t="s">
        <v>154</v>
      </c>
    </row>
    <row r="8" spans="1:28" x14ac:dyDescent="0.3">
      <c r="A8" s="55" t="s">
        <v>155</v>
      </c>
      <c r="B8" s="39" t="str">
        <f t="shared" si="1"/>
        <v>A természetes környezet védelme az emberek vagy állatok egészsége vagy jólléte érdekében</v>
      </c>
      <c r="D8" s="59" t="s">
        <v>156</v>
      </c>
      <c r="E8" s="60" t="s">
        <v>157</v>
      </c>
      <c r="F8" s="61" t="s">
        <v>158</v>
      </c>
      <c r="G8" s="60" t="s">
        <v>159</v>
      </c>
      <c r="H8" s="60" t="s">
        <v>160</v>
      </c>
      <c r="I8" s="55" t="s">
        <v>161</v>
      </c>
      <c r="J8" s="60" t="s">
        <v>162</v>
      </c>
      <c r="K8" s="60" t="s">
        <v>163</v>
      </c>
      <c r="L8" s="60" t="s">
        <v>164</v>
      </c>
      <c r="M8" s="60" t="s">
        <v>165</v>
      </c>
      <c r="N8" s="60"/>
      <c r="O8" s="60" t="s">
        <v>166</v>
      </c>
      <c r="P8" s="60" t="s">
        <v>167</v>
      </c>
      <c r="Q8" s="60" t="s">
        <v>168</v>
      </c>
      <c r="R8" s="60" t="s">
        <v>169</v>
      </c>
      <c r="S8" s="60" t="s">
        <v>170</v>
      </c>
      <c r="T8" s="60" t="s">
        <v>171</v>
      </c>
      <c r="U8" s="60" t="s">
        <v>172</v>
      </c>
      <c r="V8" s="61" t="s">
        <v>173</v>
      </c>
      <c r="W8" s="60" t="s">
        <v>174</v>
      </c>
      <c r="X8" s="60" t="s">
        <v>175</v>
      </c>
      <c r="Y8" s="60" t="s">
        <v>176</v>
      </c>
      <c r="Z8" s="60" t="s">
        <v>177</v>
      </c>
      <c r="AA8" s="60" t="s">
        <v>178</v>
      </c>
      <c r="AB8" s="62" t="s">
        <v>179</v>
      </c>
    </row>
    <row r="9" spans="1:28" x14ac:dyDescent="0.3">
      <c r="A9" s="55" t="s">
        <v>180</v>
      </c>
      <c r="B9" s="39" t="str">
        <f t="shared" si="1"/>
        <v>Fajok megőrzése</v>
      </c>
      <c r="D9" s="59" t="s">
        <v>181</v>
      </c>
      <c r="E9" s="60" t="s">
        <v>182</v>
      </c>
      <c r="F9" s="61" t="s">
        <v>183</v>
      </c>
      <c r="G9" s="60" t="s">
        <v>184</v>
      </c>
      <c r="H9" s="60" t="s">
        <v>185</v>
      </c>
      <c r="I9" s="55" t="s">
        <v>186</v>
      </c>
      <c r="J9" s="60" t="s">
        <v>187</v>
      </c>
      <c r="K9" s="60" t="s">
        <v>188</v>
      </c>
      <c r="L9" s="60" t="s">
        <v>189</v>
      </c>
      <c r="M9" s="60" t="s">
        <v>190</v>
      </c>
      <c r="N9" s="60"/>
      <c r="O9" s="60" t="s">
        <v>191</v>
      </c>
      <c r="P9" s="60" t="s">
        <v>192</v>
      </c>
      <c r="Q9" s="60" t="s">
        <v>193</v>
      </c>
      <c r="R9" s="60" t="s">
        <v>194</v>
      </c>
      <c r="S9" s="60" t="s">
        <v>195</v>
      </c>
      <c r="T9" s="60" t="s">
        <v>196</v>
      </c>
      <c r="U9" s="60" t="s">
        <v>197</v>
      </c>
      <c r="V9" s="61" t="s">
        <v>198</v>
      </c>
      <c r="W9" s="60" t="s">
        <v>199</v>
      </c>
      <c r="X9" s="60" t="s">
        <v>200</v>
      </c>
      <c r="Y9" s="60" t="s">
        <v>201</v>
      </c>
      <c r="Z9" s="60" t="s">
        <v>202</v>
      </c>
      <c r="AA9" s="60" t="s">
        <v>203</v>
      </c>
      <c r="AB9" s="62" t="s">
        <v>204</v>
      </c>
    </row>
    <row r="10" spans="1:28" x14ac:dyDescent="0.3">
      <c r="A10" s="63" t="s">
        <v>205</v>
      </c>
      <c r="B10" s="39" t="str">
        <f t="shared" si="1"/>
        <v>Felsőoktatás</v>
      </c>
      <c r="D10" s="59" t="s">
        <v>206</v>
      </c>
      <c r="E10" s="60" t="s">
        <v>207</v>
      </c>
      <c r="F10" s="61" t="s">
        <v>208</v>
      </c>
      <c r="G10" s="60" t="s">
        <v>209</v>
      </c>
      <c r="H10" s="60" t="s">
        <v>210</v>
      </c>
      <c r="I10" s="55" t="s">
        <v>211</v>
      </c>
      <c r="J10" s="60" t="s">
        <v>212</v>
      </c>
      <c r="K10" s="60" t="s">
        <v>213</v>
      </c>
      <c r="L10" s="60" t="s">
        <v>214</v>
      </c>
      <c r="M10" s="60" t="s">
        <v>215</v>
      </c>
      <c r="N10" s="60"/>
      <c r="O10" s="60" t="s">
        <v>216</v>
      </c>
      <c r="P10" s="60" t="s">
        <v>217</v>
      </c>
      <c r="Q10" s="60" t="s">
        <v>218</v>
      </c>
      <c r="R10" s="60" t="s">
        <v>219</v>
      </c>
      <c r="S10" s="60" t="s">
        <v>220</v>
      </c>
      <c r="T10" s="60" t="s">
        <v>221</v>
      </c>
      <c r="U10" s="60" t="s">
        <v>222</v>
      </c>
      <c r="V10" s="61" t="s">
        <v>223</v>
      </c>
      <c r="W10" s="60" t="s">
        <v>224</v>
      </c>
      <c r="X10" s="60" t="s">
        <v>225</v>
      </c>
      <c r="Y10" s="60" t="s">
        <v>226</v>
      </c>
      <c r="Z10" s="60" t="s">
        <v>227</v>
      </c>
      <c r="AA10" s="60" t="s">
        <v>228</v>
      </c>
      <c r="AB10" s="62" t="s">
        <v>229</v>
      </c>
    </row>
    <row r="11" spans="1:28" x14ac:dyDescent="0.3">
      <c r="A11" s="63" t="s">
        <v>230</v>
      </c>
      <c r="B11" s="39" t="str">
        <f t="shared" si="1"/>
        <v>Képzés a szakmai készségek megszerzése, fenntartása vagy fejlesztése céljából</v>
      </c>
      <c r="D11" s="59" t="s">
        <v>231</v>
      </c>
      <c r="E11" s="60" t="s">
        <v>232</v>
      </c>
      <c r="F11" s="61" t="s">
        <v>233</v>
      </c>
      <c r="G11" s="60" t="s">
        <v>234</v>
      </c>
      <c r="H11" s="60" t="s">
        <v>235</v>
      </c>
      <c r="I11" s="55" t="s">
        <v>236</v>
      </c>
      <c r="J11" s="60" t="s">
        <v>237</v>
      </c>
      <c r="K11" s="60" t="s">
        <v>238</v>
      </c>
      <c r="L11" s="60" t="s">
        <v>239</v>
      </c>
      <c r="M11" s="60" t="s">
        <v>240</v>
      </c>
      <c r="N11" s="60"/>
      <c r="O11" s="60" t="s">
        <v>241</v>
      </c>
      <c r="P11" s="60" t="s">
        <v>242</v>
      </c>
      <c r="Q11" s="60" t="s">
        <v>243</v>
      </c>
      <c r="R11" s="60" t="s">
        <v>244</v>
      </c>
      <c r="S11" s="60" t="s">
        <v>245</v>
      </c>
      <c r="T11" s="60" t="s">
        <v>246</v>
      </c>
      <c r="U11" s="60" t="s">
        <v>247</v>
      </c>
      <c r="V11" s="61" t="s">
        <v>248</v>
      </c>
      <c r="W11" s="60" t="s">
        <v>249</v>
      </c>
      <c r="X11" s="60" t="s">
        <v>250</v>
      </c>
      <c r="Y11" s="60" t="s">
        <v>251</v>
      </c>
      <c r="Z11" s="60" t="s">
        <v>252</v>
      </c>
      <c r="AA11" s="60" t="s">
        <v>253</v>
      </c>
      <c r="AB11" s="62" t="s">
        <v>254</v>
      </c>
    </row>
    <row r="12" spans="1:28" x14ac:dyDescent="0.3">
      <c r="A12" s="55" t="s">
        <v>255</v>
      </c>
      <c r="B12" s="39" t="str">
        <f t="shared" si="1"/>
        <v>Igazságügyi orvostani vizsgálat</v>
      </c>
      <c r="D12" s="59" t="s">
        <v>256</v>
      </c>
      <c r="E12" s="60" t="s">
        <v>257</v>
      </c>
      <c r="F12" s="61" t="s">
        <v>258</v>
      </c>
      <c r="G12" s="60" t="s">
        <v>259</v>
      </c>
      <c r="H12" s="60" t="s">
        <v>260</v>
      </c>
      <c r="I12" s="55" t="s">
        <v>261</v>
      </c>
      <c r="J12" s="60" t="s">
        <v>262</v>
      </c>
      <c r="K12" s="60" t="s">
        <v>263</v>
      </c>
      <c r="L12" s="60" t="s">
        <v>264</v>
      </c>
      <c r="M12" s="60" t="s">
        <v>265</v>
      </c>
      <c r="N12" s="60"/>
      <c r="O12" s="60" t="s">
        <v>266</v>
      </c>
      <c r="P12" s="60" t="s">
        <v>267</v>
      </c>
      <c r="Q12" s="60" t="s">
        <v>268</v>
      </c>
      <c r="R12" s="60" t="s">
        <v>269</v>
      </c>
      <c r="S12" s="60" t="s">
        <v>270</v>
      </c>
      <c r="T12" s="60" t="s">
        <v>271</v>
      </c>
      <c r="U12" s="60" t="s">
        <v>272</v>
      </c>
      <c r="V12" s="61" t="s">
        <v>273</v>
      </c>
      <c r="W12" s="60" t="s">
        <v>274</v>
      </c>
      <c r="X12" s="60" t="s">
        <v>275</v>
      </c>
      <c r="Y12" s="60" t="s">
        <v>276</v>
      </c>
      <c r="Z12" s="60" t="s">
        <v>277</v>
      </c>
      <c r="AA12" s="60" t="s">
        <v>278</v>
      </c>
      <c r="AB12" s="62" t="s">
        <v>279</v>
      </c>
    </row>
    <row r="13" spans="1:28" x14ac:dyDescent="0.3">
      <c r="A13" s="55" t="s">
        <v>280</v>
      </c>
      <c r="B13" s="39" t="str">
        <f t="shared" si="1"/>
        <v>Egyéb eljárásokban nem használt, géntechnológiával módosított állatok stabil fajtavonalai kolóniáinak fenntartása</v>
      </c>
      <c r="D13" s="59" t="s">
        <v>281</v>
      </c>
      <c r="E13" s="60" t="s">
        <v>282</v>
      </c>
      <c r="F13" s="61" t="s">
        <v>283</v>
      </c>
      <c r="G13" s="60" t="s">
        <v>284</v>
      </c>
      <c r="H13" s="60" t="s">
        <v>285</v>
      </c>
      <c r="I13" s="55" t="s">
        <v>286</v>
      </c>
      <c r="J13" s="60" t="s">
        <v>287</v>
      </c>
      <c r="K13" s="60" t="s">
        <v>288</v>
      </c>
      <c r="L13" s="60" t="s">
        <v>289</v>
      </c>
      <c r="M13" s="60" t="s">
        <v>290</v>
      </c>
      <c r="N13" s="60"/>
      <c r="O13" s="60" t="s">
        <v>291</v>
      </c>
      <c r="P13" s="60" t="s">
        <v>292</v>
      </c>
      <c r="Q13" s="60" t="s">
        <v>293</v>
      </c>
      <c r="R13" s="60" t="s">
        <v>294</v>
      </c>
      <c r="S13" s="60" t="s">
        <v>295</v>
      </c>
      <c r="T13" s="60" t="s">
        <v>296</v>
      </c>
      <c r="U13" s="60" t="s">
        <v>297</v>
      </c>
      <c r="V13" s="61" t="s">
        <v>298</v>
      </c>
      <c r="W13" s="60" t="s">
        <v>299</v>
      </c>
      <c r="X13" s="60" t="s">
        <v>300</v>
      </c>
      <c r="Y13" s="60" t="s">
        <v>301</v>
      </c>
      <c r="Z13" s="60" t="s">
        <v>302</v>
      </c>
      <c r="AA13" s="60" t="s">
        <v>303</v>
      </c>
      <c r="AB13" s="62" t="s">
        <v>304</v>
      </c>
    </row>
    <row r="14" spans="1:28" x14ac:dyDescent="0.3">
      <c r="A14" s="55" t="s">
        <v>305</v>
      </c>
      <c r="B14" s="39" t="str">
        <f t="shared" si="1"/>
        <v>Nem uniós cél</v>
      </c>
      <c r="D14" s="64" t="s">
        <v>306</v>
      </c>
      <c r="E14" s="65" t="s">
        <v>307</v>
      </c>
      <c r="F14" s="66" t="s">
        <v>308</v>
      </c>
      <c r="G14" s="65" t="s">
        <v>309</v>
      </c>
      <c r="H14" s="65" t="s">
        <v>310</v>
      </c>
      <c r="I14" s="67" t="s">
        <v>311</v>
      </c>
      <c r="J14" s="65" t="s">
        <v>312</v>
      </c>
      <c r="K14" s="65" t="s">
        <v>313</v>
      </c>
      <c r="L14" s="65" t="s">
        <v>314</v>
      </c>
      <c r="M14" s="65" t="s">
        <v>315</v>
      </c>
      <c r="N14" s="65"/>
      <c r="O14" s="65" t="s">
        <v>316</v>
      </c>
      <c r="P14" s="65" t="s">
        <v>317</v>
      </c>
      <c r="Q14" s="65" t="s">
        <v>318</v>
      </c>
      <c r="R14" s="65" t="s">
        <v>319</v>
      </c>
      <c r="S14" s="65" t="s">
        <v>320</v>
      </c>
      <c r="T14" s="65" t="s">
        <v>321</v>
      </c>
      <c r="U14" s="65" t="s">
        <v>322</v>
      </c>
      <c r="V14" s="66" t="s">
        <v>323</v>
      </c>
      <c r="W14" s="65" t="s">
        <v>324</v>
      </c>
      <c r="X14" s="65" t="s">
        <v>325</v>
      </c>
      <c r="Y14" s="65" t="s">
        <v>326</v>
      </c>
      <c r="Z14" s="65" t="s">
        <v>327</v>
      </c>
      <c r="AA14" s="65" t="s">
        <v>328</v>
      </c>
      <c r="AB14" s="68" t="s">
        <v>329</v>
      </c>
    </row>
    <row r="15" spans="1:28" x14ac:dyDescent="0.3">
      <c r="D15" s="55"/>
      <c r="E15" s="55"/>
      <c r="F15" s="55"/>
      <c r="G15" s="55"/>
      <c r="H15" s="55"/>
      <c r="I15" s="55"/>
      <c r="J15" s="55"/>
      <c r="K15" s="55"/>
      <c r="L15" s="55"/>
      <c r="M15" s="55"/>
      <c r="N15" s="55"/>
      <c r="O15" s="55"/>
      <c r="P15" s="55"/>
      <c r="Q15" s="55"/>
      <c r="R15" s="55"/>
      <c r="S15" s="55"/>
      <c r="T15" s="55"/>
      <c r="U15" s="55"/>
      <c r="V15" s="55"/>
      <c r="W15" s="55"/>
      <c r="X15" s="55"/>
      <c r="Y15" s="55"/>
      <c r="Z15" s="55"/>
      <c r="AA15" s="55"/>
      <c r="AB15" s="55"/>
    </row>
    <row r="16" spans="1:28" x14ac:dyDescent="0.3">
      <c r="A16" s="69" t="s">
        <v>330</v>
      </c>
      <c r="B16" s="51" t="s">
        <v>331</v>
      </c>
      <c r="C16" s="51" t="s">
        <v>332</v>
      </c>
      <c r="D16" s="56" t="str">
        <f t="shared" ref="D16:AB16" si="2">languages</f>
        <v>bg</v>
      </c>
      <c r="E16" s="57" t="str">
        <f t="shared" si="2"/>
        <v>cs</v>
      </c>
      <c r="F16" s="57" t="str">
        <f t="shared" si="2"/>
        <v>da</v>
      </c>
      <c r="G16" s="57" t="str">
        <f t="shared" si="2"/>
        <v>de</v>
      </c>
      <c r="H16" s="57" t="str">
        <f t="shared" si="2"/>
        <v>el</v>
      </c>
      <c r="I16" s="57" t="str">
        <f t="shared" si="2"/>
        <v>en</v>
      </c>
      <c r="J16" s="57" t="str">
        <f t="shared" si="2"/>
        <v>es</v>
      </c>
      <c r="K16" s="57" t="str">
        <f t="shared" si="2"/>
        <v>et</v>
      </c>
      <c r="L16" s="57" t="str">
        <f t="shared" si="2"/>
        <v>fi</v>
      </c>
      <c r="M16" s="57" t="str">
        <f t="shared" si="2"/>
        <v>fr</v>
      </c>
      <c r="N16" s="57" t="str">
        <f t="shared" si="2"/>
        <v>ga</v>
      </c>
      <c r="O16" s="57" t="str">
        <f t="shared" si="2"/>
        <v>hr</v>
      </c>
      <c r="P16" s="57" t="str">
        <f t="shared" si="2"/>
        <v>hu</v>
      </c>
      <c r="Q16" s="57" t="str">
        <f t="shared" si="2"/>
        <v>it</v>
      </c>
      <c r="R16" s="57" t="str">
        <f t="shared" si="2"/>
        <v>lt</v>
      </c>
      <c r="S16" s="57" t="str">
        <f t="shared" si="2"/>
        <v>lv</v>
      </c>
      <c r="T16" s="57" t="str">
        <f t="shared" si="2"/>
        <v>mt</v>
      </c>
      <c r="U16" s="57" t="str">
        <f t="shared" si="2"/>
        <v>nl</v>
      </c>
      <c r="V16" s="57" t="str">
        <f t="shared" si="2"/>
        <v>pl</v>
      </c>
      <c r="W16" s="57" t="str">
        <f t="shared" si="2"/>
        <v>pt</v>
      </c>
      <c r="X16" s="57" t="str">
        <f t="shared" si="2"/>
        <v>ro</v>
      </c>
      <c r="Y16" s="57" t="str">
        <f t="shared" si="2"/>
        <v>sk</v>
      </c>
      <c r="Z16" s="57" t="str">
        <f t="shared" si="2"/>
        <v>sl</v>
      </c>
      <c r="AA16" s="57" t="str">
        <f t="shared" si="2"/>
        <v>sv</v>
      </c>
      <c r="AB16" s="58" t="str">
        <f t="shared" si="2"/>
        <v>no</v>
      </c>
    </row>
    <row r="17" spans="1:28" x14ac:dyDescent="0.3">
      <c r="A17" s="39" t="s">
        <v>333</v>
      </c>
      <c r="B17" s="39" t="str">
        <f t="shared" ref="B17:B52" si="3">IF(TRIM(HLOOKUP(language_or_default,purposeTranslations,MATCH(A17,purposeCode,0),0))="",HLOOKUP("en",purposeTranslations,MATCH(A17,purposeCode,0),0),HLOOKUP(language_or_default,purposeTranslations,MATCH(A17,purposeCode,0),0))</f>
        <v>Onkológiai</v>
      </c>
      <c r="C17" s="39" t="str">
        <f t="shared" ref="C17:C30" si="4">CONCATENATE(B$5,": ",B17," [",A17,"]")</f>
        <v>Alapkutatás: Onkológiai [PB1]</v>
      </c>
      <c r="D17" s="59" t="s">
        <v>334</v>
      </c>
      <c r="E17" s="60" t="s">
        <v>335</v>
      </c>
      <c r="F17" s="61" t="s">
        <v>336</v>
      </c>
      <c r="G17" s="60" t="s">
        <v>335</v>
      </c>
      <c r="H17" s="60" t="s">
        <v>337</v>
      </c>
      <c r="I17" s="55" t="s">
        <v>338</v>
      </c>
      <c r="J17" s="60" t="s">
        <v>339</v>
      </c>
      <c r="K17" s="60" t="s">
        <v>340</v>
      </c>
      <c r="L17" s="60" t="s">
        <v>341</v>
      </c>
      <c r="M17" s="60" t="s">
        <v>342</v>
      </c>
      <c r="N17" s="60"/>
      <c r="O17" s="60" t="s">
        <v>343</v>
      </c>
      <c r="P17" s="60" t="s">
        <v>344</v>
      </c>
      <c r="Q17" s="60" t="s">
        <v>345</v>
      </c>
      <c r="R17" s="60" t="s">
        <v>343</v>
      </c>
      <c r="S17" s="60" t="s">
        <v>346</v>
      </c>
      <c r="T17" s="60" t="s">
        <v>347</v>
      </c>
      <c r="U17" s="60" t="s">
        <v>342</v>
      </c>
      <c r="V17" s="61" t="s">
        <v>348</v>
      </c>
      <c r="W17" s="60" t="s">
        <v>345</v>
      </c>
      <c r="X17" s="60" t="s">
        <v>342</v>
      </c>
      <c r="Y17" s="60" t="s">
        <v>349</v>
      </c>
      <c r="Z17" s="60" t="s">
        <v>343</v>
      </c>
      <c r="AA17" s="60" t="s">
        <v>336</v>
      </c>
      <c r="AB17" s="62" t="s">
        <v>336</v>
      </c>
    </row>
    <row r="18" spans="1:28" x14ac:dyDescent="0.3">
      <c r="A18" s="39" t="s">
        <v>350</v>
      </c>
      <c r="B18" s="39" t="str">
        <f t="shared" si="3"/>
        <v>Kardiovaszkuláris, vérképzőszervi és nyirokrendszeri</v>
      </c>
      <c r="C18" s="39" t="str">
        <f t="shared" si="4"/>
        <v>Alapkutatás: Kardiovaszkuláris, vérképzőszervi és nyirokrendszeri [PB2]</v>
      </c>
      <c r="D18" s="59" t="s">
        <v>351</v>
      </c>
      <c r="E18" s="60" t="s">
        <v>352</v>
      </c>
      <c r="F18" s="61" t="s">
        <v>353</v>
      </c>
      <c r="G18" s="60" t="s">
        <v>354</v>
      </c>
      <c r="H18" s="60" t="s">
        <v>355</v>
      </c>
      <c r="I18" s="55" t="s">
        <v>356</v>
      </c>
      <c r="J18" s="60" t="s">
        <v>357</v>
      </c>
      <c r="K18" s="60" t="s">
        <v>358</v>
      </c>
      <c r="L18" s="60" t="s">
        <v>359</v>
      </c>
      <c r="M18" s="60" t="s">
        <v>360</v>
      </c>
      <c r="N18" s="60"/>
      <c r="O18" s="60" t="s">
        <v>361</v>
      </c>
      <c r="P18" s="60" t="s">
        <v>362</v>
      </c>
      <c r="Q18" s="60" t="s">
        <v>363</v>
      </c>
      <c r="R18" s="60" t="s">
        <v>364</v>
      </c>
      <c r="S18" s="60" t="s">
        <v>365</v>
      </c>
      <c r="T18" s="60" t="s">
        <v>366</v>
      </c>
      <c r="U18" s="60" t="s">
        <v>367</v>
      </c>
      <c r="V18" s="61" t="s">
        <v>368</v>
      </c>
      <c r="W18" s="60" t="s">
        <v>369</v>
      </c>
      <c r="X18" s="60" t="s">
        <v>370</v>
      </c>
      <c r="Y18" s="60" t="s">
        <v>371</v>
      </c>
      <c r="Z18" s="60" t="s">
        <v>372</v>
      </c>
      <c r="AA18" s="60" t="s">
        <v>373</v>
      </c>
      <c r="AB18" s="62" t="s">
        <v>374</v>
      </c>
    </row>
    <row r="19" spans="1:28" x14ac:dyDescent="0.3">
      <c r="A19" s="39" t="s">
        <v>375</v>
      </c>
      <c r="B19" s="39" t="str">
        <f t="shared" si="3"/>
        <v>Idegrendszeri</v>
      </c>
      <c r="C19" s="39" t="str">
        <f t="shared" si="4"/>
        <v>Alapkutatás: Idegrendszeri [PB3]</v>
      </c>
      <c r="D19" s="59" t="s">
        <v>376</v>
      </c>
      <c r="E19" s="60" t="s">
        <v>377</v>
      </c>
      <c r="F19" s="61" t="s">
        <v>378</v>
      </c>
      <c r="G19" s="60" t="s">
        <v>379</v>
      </c>
      <c r="H19" s="60" t="s">
        <v>380</v>
      </c>
      <c r="I19" s="55" t="s">
        <v>381</v>
      </c>
      <c r="J19" s="60" t="s">
        <v>382</v>
      </c>
      <c r="K19" s="60" t="s">
        <v>383</v>
      </c>
      <c r="L19" s="60" t="s">
        <v>384</v>
      </c>
      <c r="M19" s="60" t="s">
        <v>385</v>
      </c>
      <c r="N19" s="60"/>
      <c r="O19" s="60" t="s">
        <v>386</v>
      </c>
      <c r="P19" s="60" t="s">
        <v>387</v>
      </c>
      <c r="Q19" s="60" t="s">
        <v>388</v>
      </c>
      <c r="R19" s="60" t="s">
        <v>389</v>
      </c>
      <c r="S19" s="60" t="s">
        <v>390</v>
      </c>
      <c r="T19" s="60" t="s">
        <v>391</v>
      </c>
      <c r="U19" s="60" t="s">
        <v>392</v>
      </c>
      <c r="V19" s="61" t="s">
        <v>393</v>
      </c>
      <c r="W19" s="60" t="s">
        <v>388</v>
      </c>
      <c r="X19" s="60" t="s">
        <v>394</v>
      </c>
      <c r="Y19" s="60" t="s">
        <v>395</v>
      </c>
      <c r="Z19" s="60" t="s">
        <v>396</v>
      </c>
      <c r="AA19" s="60" t="s">
        <v>397</v>
      </c>
      <c r="AB19" s="62" t="s">
        <v>398</v>
      </c>
    </row>
    <row r="20" spans="1:28" x14ac:dyDescent="0.3">
      <c r="A20" s="39" t="s">
        <v>399</v>
      </c>
      <c r="B20" s="39" t="str">
        <f t="shared" si="3"/>
        <v>Légzőrendszeri</v>
      </c>
      <c r="C20" s="39" t="str">
        <f t="shared" si="4"/>
        <v>Alapkutatás: Légzőrendszeri [PB4]</v>
      </c>
      <c r="D20" s="59" t="s">
        <v>400</v>
      </c>
      <c r="E20" s="60" t="s">
        <v>401</v>
      </c>
      <c r="F20" s="61" t="s">
        <v>402</v>
      </c>
      <c r="G20" s="60" t="s">
        <v>403</v>
      </c>
      <c r="H20" s="60" t="s">
        <v>404</v>
      </c>
      <c r="I20" s="55" t="s">
        <v>405</v>
      </c>
      <c r="J20" s="60" t="s">
        <v>406</v>
      </c>
      <c r="K20" s="60" t="s">
        <v>407</v>
      </c>
      <c r="L20" s="60" t="s">
        <v>408</v>
      </c>
      <c r="M20" s="60" t="s">
        <v>409</v>
      </c>
      <c r="N20" s="60"/>
      <c r="O20" s="60" t="s">
        <v>410</v>
      </c>
      <c r="P20" s="60" t="s">
        <v>411</v>
      </c>
      <c r="Q20" s="60" t="s">
        <v>412</v>
      </c>
      <c r="R20" s="60" t="s">
        <v>413</v>
      </c>
      <c r="S20" s="60" t="s">
        <v>414</v>
      </c>
      <c r="T20" s="60" t="s">
        <v>415</v>
      </c>
      <c r="U20" s="60" t="s">
        <v>416</v>
      </c>
      <c r="V20" s="61" t="s">
        <v>417</v>
      </c>
      <c r="W20" s="60" t="s">
        <v>418</v>
      </c>
      <c r="X20" s="60" t="s">
        <v>419</v>
      </c>
      <c r="Y20" s="60" t="s">
        <v>420</v>
      </c>
      <c r="Z20" s="60" t="s">
        <v>421</v>
      </c>
      <c r="AA20" s="60" t="s">
        <v>422</v>
      </c>
      <c r="AB20" s="62" t="s">
        <v>423</v>
      </c>
    </row>
    <row r="21" spans="1:28" x14ac:dyDescent="0.3">
      <c r="A21" s="39" t="s">
        <v>424</v>
      </c>
      <c r="B21" s="39" t="str">
        <f t="shared" si="3"/>
        <v>Gasztrointesztinális (a májat is beleértve)</v>
      </c>
      <c r="C21" s="39" t="str">
        <f t="shared" si="4"/>
        <v>Alapkutatás: Gasztrointesztinális (a májat is beleértve) [PB5]</v>
      </c>
      <c r="D21" s="59" t="s">
        <v>425</v>
      </c>
      <c r="E21" s="60" t="s">
        <v>426</v>
      </c>
      <c r="F21" s="61" t="s">
        <v>427</v>
      </c>
      <c r="G21" s="60" t="s">
        <v>428</v>
      </c>
      <c r="H21" s="60" t="s">
        <v>429</v>
      </c>
      <c r="I21" s="55" t="s">
        <v>430</v>
      </c>
      <c r="J21" s="60" t="s">
        <v>431</v>
      </c>
      <c r="K21" s="60" t="s">
        <v>432</v>
      </c>
      <c r="L21" s="60" t="s">
        <v>433</v>
      </c>
      <c r="M21" s="60" t="s">
        <v>434</v>
      </c>
      <c r="N21" s="60"/>
      <c r="O21" s="60" t="s">
        <v>435</v>
      </c>
      <c r="P21" s="60" t="s">
        <v>436</v>
      </c>
      <c r="Q21" s="60" t="s">
        <v>437</v>
      </c>
      <c r="R21" s="60" t="s">
        <v>438</v>
      </c>
      <c r="S21" s="60" t="s">
        <v>439</v>
      </c>
      <c r="T21" s="60" t="s">
        <v>440</v>
      </c>
      <c r="U21" s="60" t="s">
        <v>441</v>
      </c>
      <c r="V21" s="61" t="s">
        <v>442</v>
      </c>
      <c r="W21" s="60" t="s">
        <v>443</v>
      </c>
      <c r="X21" s="60" t="s">
        <v>444</v>
      </c>
      <c r="Y21" s="60" t="s">
        <v>445</v>
      </c>
      <c r="Z21" s="60" t="s">
        <v>446</v>
      </c>
      <c r="AA21" s="60" t="s">
        <v>447</v>
      </c>
      <c r="AB21" s="62" t="s">
        <v>448</v>
      </c>
    </row>
    <row r="22" spans="1:28" x14ac:dyDescent="0.3">
      <c r="A22" s="39" t="s">
        <v>449</v>
      </c>
      <c r="B22" s="39" t="str">
        <f t="shared" si="3"/>
        <v>Csont- és izomrendszeri</v>
      </c>
      <c r="C22" s="39" t="str">
        <f t="shared" si="4"/>
        <v>Alapkutatás: Csont- és izomrendszeri [PB6]</v>
      </c>
      <c r="D22" s="59" t="s">
        <v>450</v>
      </c>
      <c r="E22" s="60" t="s">
        <v>451</v>
      </c>
      <c r="F22" s="61" t="s">
        <v>452</v>
      </c>
      <c r="G22" s="60" t="s">
        <v>453</v>
      </c>
      <c r="H22" s="60" t="s">
        <v>454</v>
      </c>
      <c r="I22" s="55" t="s">
        <v>455</v>
      </c>
      <c r="J22" s="60" t="s">
        <v>456</v>
      </c>
      <c r="K22" s="60" t="s">
        <v>457</v>
      </c>
      <c r="L22" s="60" t="s">
        <v>458</v>
      </c>
      <c r="M22" s="60" t="s">
        <v>459</v>
      </c>
      <c r="N22" s="60"/>
      <c r="O22" s="60" t="s">
        <v>460</v>
      </c>
      <c r="P22" s="60" t="s">
        <v>461</v>
      </c>
      <c r="Q22" s="60" t="s">
        <v>462</v>
      </c>
      <c r="R22" s="60" t="s">
        <v>463</v>
      </c>
      <c r="S22" s="60" t="s">
        <v>464</v>
      </c>
      <c r="T22" s="60" t="s">
        <v>465</v>
      </c>
      <c r="U22" s="60" t="s">
        <v>466</v>
      </c>
      <c r="V22" s="61" t="s">
        <v>467</v>
      </c>
      <c r="W22" s="60" t="s">
        <v>468</v>
      </c>
      <c r="X22" s="60" t="s">
        <v>469</v>
      </c>
      <c r="Y22" s="60" t="s">
        <v>470</v>
      </c>
      <c r="Z22" s="60" t="s">
        <v>471</v>
      </c>
      <c r="AA22" s="60" t="s">
        <v>472</v>
      </c>
      <c r="AB22" s="62" t="s">
        <v>473</v>
      </c>
    </row>
    <row r="23" spans="1:28" x14ac:dyDescent="0.3">
      <c r="A23" s="39" t="s">
        <v>474</v>
      </c>
      <c r="B23" s="39" t="str">
        <f t="shared" si="3"/>
        <v>Immunrendszeri</v>
      </c>
      <c r="C23" s="39" t="str">
        <f t="shared" si="4"/>
        <v>Alapkutatás: Immunrendszeri [PB7]</v>
      </c>
      <c r="D23" s="59" t="s">
        <v>475</v>
      </c>
      <c r="E23" s="60" t="s">
        <v>476</v>
      </c>
      <c r="F23" s="61" t="s">
        <v>477</v>
      </c>
      <c r="G23" s="60" t="s">
        <v>478</v>
      </c>
      <c r="H23" s="60" t="s">
        <v>479</v>
      </c>
      <c r="I23" s="55" t="s">
        <v>480</v>
      </c>
      <c r="J23" s="60" t="s">
        <v>481</v>
      </c>
      <c r="K23" s="60" t="s">
        <v>482</v>
      </c>
      <c r="L23" s="60" t="s">
        <v>483</v>
      </c>
      <c r="M23" s="60" t="s">
        <v>484</v>
      </c>
      <c r="N23" s="60"/>
      <c r="O23" s="60" t="s">
        <v>485</v>
      </c>
      <c r="P23" s="60" t="s">
        <v>486</v>
      </c>
      <c r="Q23" s="60" t="s">
        <v>487</v>
      </c>
      <c r="R23" s="60" t="s">
        <v>488</v>
      </c>
      <c r="S23" s="60" t="s">
        <v>489</v>
      </c>
      <c r="T23" s="60" t="s">
        <v>490</v>
      </c>
      <c r="U23" s="60" t="s">
        <v>491</v>
      </c>
      <c r="V23" s="61" t="s">
        <v>492</v>
      </c>
      <c r="W23" s="60" t="s">
        <v>493</v>
      </c>
      <c r="X23" s="60" t="s">
        <v>494</v>
      </c>
      <c r="Y23" s="60" t="s">
        <v>495</v>
      </c>
      <c r="Z23" s="60" t="s">
        <v>496</v>
      </c>
      <c r="AA23" s="60" t="s">
        <v>477</v>
      </c>
      <c r="AB23" s="62" t="s">
        <v>478</v>
      </c>
    </row>
    <row r="24" spans="1:28" x14ac:dyDescent="0.3">
      <c r="A24" s="39" t="s">
        <v>497</v>
      </c>
      <c r="B24" s="39" t="str">
        <f t="shared" si="3"/>
        <v>Urogenitális/szaporodási szervrendszeri</v>
      </c>
      <c r="C24" s="39" t="str">
        <f t="shared" si="4"/>
        <v>Alapkutatás: Urogenitális/szaporodási szervrendszeri [PB8]</v>
      </c>
      <c r="D24" s="59" t="s">
        <v>498</v>
      </c>
      <c r="E24" s="60" t="s">
        <v>499</v>
      </c>
      <c r="F24" s="61" t="s">
        <v>500</v>
      </c>
      <c r="G24" s="60" t="s">
        <v>501</v>
      </c>
      <c r="H24" s="60" t="s">
        <v>502</v>
      </c>
      <c r="I24" s="55" t="s">
        <v>503</v>
      </c>
      <c r="J24" s="60" t="s">
        <v>504</v>
      </c>
      <c r="K24" s="60" t="s">
        <v>505</v>
      </c>
      <c r="L24" s="60" t="s">
        <v>506</v>
      </c>
      <c r="M24" s="60" t="s">
        <v>507</v>
      </c>
      <c r="N24" s="60"/>
      <c r="O24" s="60" t="s">
        <v>508</v>
      </c>
      <c r="P24" s="60" t="s">
        <v>509</v>
      </c>
      <c r="Q24" s="60" t="s">
        <v>510</v>
      </c>
      <c r="R24" s="60" t="s">
        <v>511</v>
      </c>
      <c r="S24" s="60" t="s">
        <v>512</v>
      </c>
      <c r="T24" s="60" t="s">
        <v>513</v>
      </c>
      <c r="U24" s="60" t="s">
        <v>514</v>
      </c>
      <c r="V24" s="61" t="s">
        <v>515</v>
      </c>
      <c r="W24" s="60" t="s">
        <v>516</v>
      </c>
      <c r="X24" s="60" t="s">
        <v>517</v>
      </c>
      <c r="Y24" s="60" t="s">
        <v>518</v>
      </c>
      <c r="Z24" s="60" t="s">
        <v>519</v>
      </c>
      <c r="AA24" s="60" t="s">
        <v>520</v>
      </c>
      <c r="AB24" s="62" t="s">
        <v>521</v>
      </c>
    </row>
    <row r="25" spans="1:28" x14ac:dyDescent="0.3">
      <c r="A25" s="39" t="s">
        <v>522</v>
      </c>
      <c r="B25" s="39" t="str">
        <f t="shared" si="3"/>
        <v>Érzékszervi (bőr, szem és fül)</v>
      </c>
      <c r="C25" s="39" t="str">
        <f t="shared" si="4"/>
        <v>Alapkutatás: Érzékszervi (bőr, szem és fül) [PB9]</v>
      </c>
      <c r="D25" s="59" t="s">
        <v>523</v>
      </c>
      <c r="E25" s="60" t="s">
        <v>524</v>
      </c>
      <c r="F25" s="61" t="s">
        <v>525</v>
      </c>
      <c r="G25" s="60" t="s">
        <v>526</v>
      </c>
      <c r="H25" s="60" t="s">
        <v>527</v>
      </c>
      <c r="I25" s="55" t="s">
        <v>528</v>
      </c>
      <c r="J25" s="60" t="s">
        <v>529</v>
      </c>
      <c r="K25" s="60" t="s">
        <v>530</v>
      </c>
      <c r="L25" s="60" t="s">
        <v>531</v>
      </c>
      <c r="M25" s="60" t="s">
        <v>532</v>
      </c>
      <c r="N25" s="60"/>
      <c r="O25" s="60" t="s">
        <v>533</v>
      </c>
      <c r="P25" s="60" t="s">
        <v>534</v>
      </c>
      <c r="Q25" s="60" t="s">
        <v>535</v>
      </c>
      <c r="R25" s="60" t="s">
        <v>536</v>
      </c>
      <c r="S25" s="60" t="s">
        <v>537</v>
      </c>
      <c r="T25" s="60" t="s">
        <v>538</v>
      </c>
      <c r="U25" s="60" t="s">
        <v>539</v>
      </c>
      <c r="V25" s="61" t="s">
        <v>540</v>
      </c>
      <c r="W25" s="60" t="s">
        <v>541</v>
      </c>
      <c r="X25" s="60" t="s">
        <v>542</v>
      </c>
      <c r="Y25" s="60" t="s">
        <v>543</v>
      </c>
      <c r="Z25" s="60" t="s">
        <v>544</v>
      </c>
      <c r="AA25" s="60" t="s">
        <v>545</v>
      </c>
      <c r="AB25" s="62" t="s">
        <v>546</v>
      </c>
    </row>
    <row r="26" spans="1:28" x14ac:dyDescent="0.3">
      <c r="A26" s="39" t="s">
        <v>547</v>
      </c>
      <c r="B26" s="39" t="str">
        <f t="shared" si="3"/>
        <v>Endokrin rendszerrel/anyagcserével kapcsolatos</v>
      </c>
      <c r="C26" s="39" t="str">
        <f t="shared" si="4"/>
        <v>Alapkutatás: Endokrin rendszerrel/anyagcserével kapcsolatos [PB10]</v>
      </c>
      <c r="D26" s="59" t="s">
        <v>548</v>
      </c>
      <c r="E26" s="60" t="s">
        <v>549</v>
      </c>
      <c r="F26" s="61" t="s">
        <v>550</v>
      </c>
      <c r="G26" s="60" t="s">
        <v>551</v>
      </c>
      <c r="H26" s="60" t="s">
        <v>552</v>
      </c>
      <c r="I26" s="55" t="s">
        <v>553</v>
      </c>
      <c r="J26" s="60" t="s">
        <v>554</v>
      </c>
      <c r="K26" s="60" t="s">
        <v>555</v>
      </c>
      <c r="L26" s="60" t="s">
        <v>556</v>
      </c>
      <c r="M26" s="60" t="s">
        <v>557</v>
      </c>
      <c r="N26" s="60"/>
      <c r="O26" s="60" t="s">
        <v>558</v>
      </c>
      <c r="P26" s="60" t="s">
        <v>559</v>
      </c>
      <c r="Q26" s="60" t="s">
        <v>560</v>
      </c>
      <c r="R26" s="60" t="s">
        <v>561</v>
      </c>
      <c r="S26" s="60" t="s">
        <v>562</v>
      </c>
      <c r="T26" s="60" t="s">
        <v>563</v>
      </c>
      <c r="U26" s="60" t="s">
        <v>564</v>
      </c>
      <c r="V26" s="61" t="s">
        <v>565</v>
      </c>
      <c r="W26" s="60" t="s">
        <v>566</v>
      </c>
      <c r="X26" s="60" t="s">
        <v>567</v>
      </c>
      <c r="Y26" s="60" t="s">
        <v>568</v>
      </c>
      <c r="Z26" s="60" t="s">
        <v>569</v>
      </c>
      <c r="AA26" s="60" t="s">
        <v>570</v>
      </c>
      <c r="AB26" s="62" t="s">
        <v>571</v>
      </c>
    </row>
    <row r="27" spans="1:28" x14ac:dyDescent="0.3">
      <c r="A27" s="70" t="s">
        <v>572</v>
      </c>
      <c r="B27" s="39" t="str">
        <f t="shared" si="3"/>
        <v>Fejlődésbiológiai</v>
      </c>
      <c r="C27" s="39" t="str">
        <f t="shared" si="4"/>
        <v>Alapkutatás: Fejlődésbiológiai [PB14]</v>
      </c>
      <c r="D27" s="59" t="s">
        <v>573</v>
      </c>
      <c r="E27" s="60" t="s">
        <v>574</v>
      </c>
      <c r="F27" s="61" t="s">
        <v>575</v>
      </c>
      <c r="G27" s="60" t="s">
        <v>576</v>
      </c>
      <c r="H27" s="60" t="s">
        <v>577</v>
      </c>
      <c r="I27" s="55" t="s">
        <v>578</v>
      </c>
      <c r="J27" s="60" t="s">
        <v>579</v>
      </c>
      <c r="K27" s="60" t="s">
        <v>580</v>
      </c>
      <c r="L27" s="60" t="s">
        <v>581</v>
      </c>
      <c r="M27" s="60" t="s">
        <v>582</v>
      </c>
      <c r="N27" s="60"/>
      <c r="O27" s="60" t="s">
        <v>583</v>
      </c>
      <c r="P27" s="60" t="s">
        <v>584</v>
      </c>
      <c r="Q27" s="60" t="s">
        <v>585</v>
      </c>
      <c r="R27" s="60" t="s">
        <v>586</v>
      </c>
      <c r="S27" s="60" t="s">
        <v>587</v>
      </c>
      <c r="T27" s="60" t="s">
        <v>588</v>
      </c>
      <c r="U27" s="60" t="s">
        <v>589</v>
      </c>
      <c r="V27" s="61" t="s">
        <v>590</v>
      </c>
      <c r="W27" s="60" t="s">
        <v>591</v>
      </c>
      <c r="X27" s="60" t="s">
        <v>592</v>
      </c>
      <c r="Y27" s="60" t="s">
        <v>593</v>
      </c>
      <c r="Z27" s="60" t="s">
        <v>583</v>
      </c>
      <c r="AA27" s="60" t="s">
        <v>594</v>
      </c>
      <c r="AB27" s="62" t="s">
        <v>595</v>
      </c>
    </row>
    <row r="28" spans="1:28" x14ac:dyDescent="0.3">
      <c r="A28" s="39" t="s">
        <v>596</v>
      </c>
      <c r="B28" s="39" t="str">
        <f t="shared" si="3"/>
        <v>Multiszisztémás</v>
      </c>
      <c r="C28" s="39" t="str">
        <f t="shared" si="4"/>
        <v>Alapkutatás: Multiszisztémás [PB11]</v>
      </c>
      <c r="D28" s="59" t="s">
        <v>597</v>
      </c>
      <c r="E28" s="60" t="s">
        <v>598</v>
      </c>
      <c r="F28" s="61" t="s">
        <v>599</v>
      </c>
      <c r="G28" s="60" t="s">
        <v>600</v>
      </c>
      <c r="H28" s="60" t="s">
        <v>601</v>
      </c>
      <c r="I28" s="55" t="s">
        <v>602</v>
      </c>
      <c r="J28" s="60" t="s">
        <v>603</v>
      </c>
      <c r="K28" s="60" t="s">
        <v>604</v>
      </c>
      <c r="L28" s="60" t="s">
        <v>605</v>
      </c>
      <c r="M28" s="60" t="s">
        <v>606</v>
      </c>
      <c r="N28" s="60"/>
      <c r="O28" s="60" t="s">
        <v>607</v>
      </c>
      <c r="P28" s="60" t="s">
        <v>608</v>
      </c>
      <c r="Q28" s="60" t="s">
        <v>609</v>
      </c>
      <c r="R28" s="60" t="s">
        <v>610</v>
      </c>
      <c r="S28" s="60" t="s">
        <v>611</v>
      </c>
      <c r="T28" s="60" t="s">
        <v>612</v>
      </c>
      <c r="U28" s="60" t="s">
        <v>600</v>
      </c>
      <c r="V28" s="61" t="s">
        <v>613</v>
      </c>
      <c r="W28" s="60" t="s">
        <v>614</v>
      </c>
      <c r="X28" s="60" t="s">
        <v>615</v>
      </c>
      <c r="Y28" s="60" t="s">
        <v>616</v>
      </c>
      <c r="Z28" s="60" t="s">
        <v>617</v>
      </c>
      <c r="AA28" s="60" t="s">
        <v>618</v>
      </c>
      <c r="AB28" s="62" t="s">
        <v>599</v>
      </c>
    </row>
    <row r="29" spans="1:28" x14ac:dyDescent="0.3">
      <c r="A29" s="39" t="s">
        <v>619</v>
      </c>
      <c r="B29" s="39" t="str">
        <f t="shared" si="3"/>
        <v>Etológiai/állat-viselkedéstani/állatbiológiai</v>
      </c>
      <c r="C29" s="39" t="str">
        <f t="shared" si="4"/>
        <v>Alapkutatás: Etológiai/állat-viselkedéstani/állatbiológiai [PB12]</v>
      </c>
      <c r="D29" s="59" t="s">
        <v>620</v>
      </c>
      <c r="E29" s="60" t="s">
        <v>621</v>
      </c>
      <c r="F29" s="61" t="s">
        <v>622</v>
      </c>
      <c r="G29" s="60" t="s">
        <v>623</v>
      </c>
      <c r="H29" s="60" t="s">
        <v>624</v>
      </c>
      <c r="I29" s="55" t="s">
        <v>625</v>
      </c>
      <c r="J29" s="60" t="s">
        <v>626</v>
      </c>
      <c r="K29" s="60" t="s">
        <v>627</v>
      </c>
      <c r="L29" s="60" t="s">
        <v>628</v>
      </c>
      <c r="M29" s="60" t="s">
        <v>629</v>
      </c>
      <c r="N29" s="60"/>
      <c r="O29" s="60" t="s">
        <v>630</v>
      </c>
      <c r="P29" s="60" t="s">
        <v>631</v>
      </c>
      <c r="Q29" s="60" t="s">
        <v>632</v>
      </c>
      <c r="R29" s="60" t="s">
        <v>633</v>
      </c>
      <c r="S29" s="60" t="s">
        <v>634</v>
      </c>
      <c r="T29" s="60" t="s">
        <v>635</v>
      </c>
      <c r="U29" s="60" t="s">
        <v>636</v>
      </c>
      <c r="V29" s="61" t="s">
        <v>637</v>
      </c>
      <c r="W29" s="60" t="s">
        <v>638</v>
      </c>
      <c r="X29" s="60" t="s">
        <v>639</v>
      </c>
      <c r="Y29" s="60" t="s">
        <v>640</v>
      </c>
      <c r="Z29" s="60" t="s">
        <v>641</v>
      </c>
      <c r="AA29" s="60" t="s">
        <v>642</v>
      </c>
      <c r="AB29" s="62" t="s">
        <v>643</v>
      </c>
    </row>
    <row r="30" spans="1:28" x14ac:dyDescent="0.3">
      <c r="A30" s="39" t="s">
        <v>644</v>
      </c>
      <c r="B30" s="39" t="str">
        <f t="shared" si="3"/>
        <v>Egyéb alapkutatás</v>
      </c>
      <c r="C30" s="39" t="str">
        <f t="shared" si="4"/>
        <v>Alapkutatás: Egyéb alapkutatás [PB13]</v>
      </c>
      <c r="D30" s="59" t="s">
        <v>645</v>
      </c>
      <c r="E30" s="60" t="s">
        <v>646</v>
      </c>
      <c r="F30" s="61" t="s">
        <v>647</v>
      </c>
      <c r="G30" s="60" t="s">
        <v>648</v>
      </c>
      <c r="H30" s="60" t="s">
        <v>649</v>
      </c>
      <c r="I30" s="55" t="s">
        <v>650</v>
      </c>
      <c r="J30" s="60" t="s">
        <v>651</v>
      </c>
      <c r="K30" s="60" t="s">
        <v>652</v>
      </c>
      <c r="L30" s="60" t="s">
        <v>653</v>
      </c>
      <c r="M30" s="60" t="s">
        <v>654</v>
      </c>
      <c r="N30" s="60"/>
      <c r="O30" s="60" t="s">
        <v>655</v>
      </c>
      <c r="P30" s="60" t="s">
        <v>656</v>
      </c>
      <c r="Q30" s="60" t="s">
        <v>657</v>
      </c>
      <c r="R30" s="60" t="s">
        <v>658</v>
      </c>
      <c r="S30" s="60" t="s">
        <v>659</v>
      </c>
      <c r="T30" s="60" t="s">
        <v>660</v>
      </c>
      <c r="U30" s="60" t="s">
        <v>661</v>
      </c>
      <c r="V30" s="61" t="s">
        <v>662</v>
      </c>
      <c r="W30" s="60" t="s">
        <v>663</v>
      </c>
      <c r="X30" s="60" t="s">
        <v>664</v>
      </c>
      <c r="Y30" s="60" t="s">
        <v>665</v>
      </c>
      <c r="Z30" s="60" t="s">
        <v>666</v>
      </c>
      <c r="AA30" s="60" t="s">
        <v>667</v>
      </c>
      <c r="AB30" s="62" t="s">
        <v>668</v>
      </c>
    </row>
    <row r="31" spans="1:28" x14ac:dyDescent="0.3">
      <c r="A31" s="39" t="s">
        <v>669</v>
      </c>
      <c r="B31" s="39" t="str">
        <f t="shared" si="3"/>
        <v>Emberi rákbetegségek</v>
      </c>
      <c r="C31" s="39" t="str">
        <f t="shared" ref="C31:C48" si="5">CONCATENATE(B$6,": ",B31," [",A31,"]")</f>
        <v>Transzlációs és alkalmazott kutatás: Emberi rákbetegségek [PT21]</v>
      </c>
      <c r="D31" s="59" t="s">
        <v>670</v>
      </c>
      <c r="E31" s="60" t="s">
        <v>671</v>
      </c>
      <c r="F31" s="61" t="s">
        <v>672</v>
      </c>
      <c r="G31" s="60" t="s">
        <v>673</v>
      </c>
      <c r="H31" s="60" t="s">
        <v>674</v>
      </c>
      <c r="I31" s="55" t="s">
        <v>675</v>
      </c>
      <c r="J31" s="60" t="s">
        <v>676</v>
      </c>
      <c r="K31" s="60" t="s">
        <v>677</v>
      </c>
      <c r="L31" s="60" t="s">
        <v>678</v>
      </c>
      <c r="M31" s="60" t="s">
        <v>679</v>
      </c>
      <c r="N31" s="60"/>
      <c r="O31" s="60" t="s">
        <v>680</v>
      </c>
      <c r="P31" s="60" t="s">
        <v>681</v>
      </c>
      <c r="Q31" s="60" t="s">
        <v>682</v>
      </c>
      <c r="R31" s="60" t="s">
        <v>683</v>
      </c>
      <c r="S31" s="60" t="s">
        <v>684</v>
      </c>
      <c r="T31" s="60" t="s">
        <v>685</v>
      </c>
      <c r="U31" s="60" t="s">
        <v>686</v>
      </c>
      <c r="V31" s="61" t="s">
        <v>687</v>
      </c>
      <c r="W31" s="60" t="s">
        <v>688</v>
      </c>
      <c r="X31" s="60" t="s">
        <v>689</v>
      </c>
      <c r="Y31" s="60" t="s">
        <v>690</v>
      </c>
      <c r="Z31" s="60" t="s">
        <v>691</v>
      </c>
      <c r="AA31" s="60" t="s">
        <v>692</v>
      </c>
      <c r="AB31" s="62" t="s">
        <v>693</v>
      </c>
    </row>
    <row r="32" spans="1:28" x14ac:dyDescent="0.3">
      <c r="A32" s="39" t="s">
        <v>694</v>
      </c>
      <c r="B32" s="39" t="str">
        <f t="shared" si="3"/>
        <v>Emberi fertőző betegségek</v>
      </c>
      <c r="C32" s="39" t="str">
        <f t="shared" si="5"/>
        <v>Transzlációs és alkalmazott kutatás: Emberi fertőző betegségek [PT22]</v>
      </c>
      <c r="D32" s="59" t="s">
        <v>695</v>
      </c>
      <c r="E32" s="60" t="s">
        <v>696</v>
      </c>
      <c r="F32" s="61" t="s">
        <v>697</v>
      </c>
      <c r="G32" s="60" t="s">
        <v>698</v>
      </c>
      <c r="H32" s="60" t="s">
        <v>699</v>
      </c>
      <c r="I32" s="55" t="s">
        <v>700</v>
      </c>
      <c r="J32" s="60" t="s">
        <v>701</v>
      </c>
      <c r="K32" s="60" t="s">
        <v>702</v>
      </c>
      <c r="L32" s="60" t="s">
        <v>703</v>
      </c>
      <c r="M32" s="60" t="s">
        <v>704</v>
      </c>
      <c r="N32" s="60"/>
      <c r="O32" s="60" t="s">
        <v>705</v>
      </c>
      <c r="P32" s="60" t="s">
        <v>706</v>
      </c>
      <c r="Q32" s="60" t="s">
        <v>707</v>
      </c>
      <c r="R32" s="60" t="s">
        <v>708</v>
      </c>
      <c r="S32" s="60" t="s">
        <v>709</v>
      </c>
      <c r="T32" s="60" t="s">
        <v>710</v>
      </c>
      <c r="U32" s="60" t="s">
        <v>711</v>
      </c>
      <c r="V32" s="61" t="s">
        <v>712</v>
      </c>
      <c r="W32" s="60" t="s">
        <v>713</v>
      </c>
      <c r="X32" s="60" t="s">
        <v>714</v>
      </c>
      <c r="Y32" s="60" t="s">
        <v>715</v>
      </c>
      <c r="Z32" s="60" t="s">
        <v>716</v>
      </c>
      <c r="AA32" s="60" t="s">
        <v>717</v>
      </c>
      <c r="AB32" s="62" t="s">
        <v>718</v>
      </c>
    </row>
    <row r="33" spans="1:28" x14ac:dyDescent="0.3">
      <c r="A33" s="39" t="s">
        <v>719</v>
      </c>
      <c r="B33" s="39" t="str">
        <f t="shared" si="3"/>
        <v>Emberi kardiovaszkuláris betegségek</v>
      </c>
      <c r="C33" s="39" t="str">
        <f t="shared" si="5"/>
        <v>Transzlációs és alkalmazott kutatás: Emberi kardiovaszkuláris betegségek [PT23]</v>
      </c>
      <c r="D33" s="59" t="s">
        <v>720</v>
      </c>
      <c r="E33" s="60" t="s">
        <v>721</v>
      </c>
      <c r="F33" s="61" t="s">
        <v>722</v>
      </c>
      <c r="G33" s="60" t="s">
        <v>723</v>
      </c>
      <c r="H33" s="60" t="s">
        <v>724</v>
      </c>
      <c r="I33" s="55" t="s">
        <v>725</v>
      </c>
      <c r="J33" s="60" t="s">
        <v>726</v>
      </c>
      <c r="K33" s="60" t="s">
        <v>727</v>
      </c>
      <c r="L33" s="60" t="s">
        <v>728</v>
      </c>
      <c r="M33" s="60" t="s">
        <v>729</v>
      </c>
      <c r="N33" s="60"/>
      <c r="O33" s="60" t="s">
        <v>730</v>
      </c>
      <c r="P33" s="60" t="s">
        <v>731</v>
      </c>
      <c r="Q33" s="60" t="s">
        <v>732</v>
      </c>
      <c r="R33" s="60" t="s">
        <v>733</v>
      </c>
      <c r="S33" s="60" t="s">
        <v>734</v>
      </c>
      <c r="T33" s="60" t="s">
        <v>735</v>
      </c>
      <c r="U33" s="60" t="s">
        <v>736</v>
      </c>
      <c r="V33" s="61" t="s">
        <v>737</v>
      </c>
      <c r="W33" s="60" t="s">
        <v>738</v>
      </c>
      <c r="X33" s="60" t="s">
        <v>739</v>
      </c>
      <c r="Y33" s="60" t="s">
        <v>740</v>
      </c>
      <c r="Z33" s="60" t="s">
        <v>741</v>
      </c>
      <c r="AA33" s="60" t="s">
        <v>742</v>
      </c>
      <c r="AB33" s="62" t="s">
        <v>743</v>
      </c>
    </row>
    <row r="34" spans="1:28" x14ac:dyDescent="0.3">
      <c r="A34" s="39" t="s">
        <v>744</v>
      </c>
      <c r="B34" s="39" t="str">
        <f t="shared" si="3"/>
        <v>Emberi idegrendszeri és mentális betegségek</v>
      </c>
      <c r="C34" s="39" t="str">
        <f t="shared" si="5"/>
        <v>Transzlációs és alkalmazott kutatás: Emberi idegrendszeri és mentális betegségek [PT24]</v>
      </c>
      <c r="D34" s="59" t="s">
        <v>745</v>
      </c>
      <c r="E34" s="60" t="s">
        <v>746</v>
      </c>
      <c r="F34" s="61" t="s">
        <v>747</v>
      </c>
      <c r="G34" s="60" t="s">
        <v>748</v>
      </c>
      <c r="H34" s="60" t="s">
        <v>749</v>
      </c>
      <c r="I34" s="55" t="s">
        <v>750</v>
      </c>
      <c r="J34" s="60" t="s">
        <v>751</v>
      </c>
      <c r="K34" s="60" t="s">
        <v>752</v>
      </c>
      <c r="L34" s="60" t="s">
        <v>753</v>
      </c>
      <c r="M34" s="60" t="s">
        <v>754</v>
      </c>
      <c r="N34" s="60"/>
      <c r="O34" s="60" t="s">
        <v>755</v>
      </c>
      <c r="P34" s="60" t="s">
        <v>756</v>
      </c>
      <c r="Q34" s="60" t="s">
        <v>757</v>
      </c>
      <c r="R34" s="60" t="s">
        <v>758</v>
      </c>
      <c r="S34" s="60" t="s">
        <v>759</v>
      </c>
      <c r="T34" s="60" t="s">
        <v>760</v>
      </c>
      <c r="U34" s="60" t="s">
        <v>761</v>
      </c>
      <c r="V34" s="61" t="s">
        <v>762</v>
      </c>
      <c r="W34" s="60" t="s">
        <v>763</v>
      </c>
      <c r="X34" s="60" t="s">
        <v>764</v>
      </c>
      <c r="Y34" s="60" t="s">
        <v>765</v>
      </c>
      <c r="Z34" s="60" t="s">
        <v>766</v>
      </c>
      <c r="AA34" s="60" t="s">
        <v>767</v>
      </c>
      <c r="AB34" s="62" t="s">
        <v>768</v>
      </c>
    </row>
    <row r="35" spans="1:28" x14ac:dyDescent="0.3">
      <c r="A35" s="39" t="s">
        <v>769</v>
      </c>
      <c r="B35" s="39" t="str">
        <f t="shared" si="3"/>
        <v>Emberi légzőszervi betegségek</v>
      </c>
      <c r="C35" s="39" t="str">
        <f t="shared" si="5"/>
        <v>Transzlációs és alkalmazott kutatás: Emberi légzőszervi betegségek [PT25]</v>
      </c>
      <c r="D35" s="59" t="s">
        <v>770</v>
      </c>
      <c r="E35" s="60" t="s">
        <v>771</v>
      </c>
      <c r="F35" s="61" t="s">
        <v>772</v>
      </c>
      <c r="G35" s="60" t="s">
        <v>773</v>
      </c>
      <c r="H35" s="60" t="s">
        <v>774</v>
      </c>
      <c r="I35" s="55" t="s">
        <v>775</v>
      </c>
      <c r="J35" s="60" t="s">
        <v>776</v>
      </c>
      <c r="K35" s="60" t="s">
        <v>777</v>
      </c>
      <c r="L35" s="60" t="s">
        <v>778</v>
      </c>
      <c r="M35" s="60" t="s">
        <v>779</v>
      </c>
      <c r="N35" s="60"/>
      <c r="O35" s="60" t="s">
        <v>780</v>
      </c>
      <c r="P35" s="60" t="s">
        <v>781</v>
      </c>
      <c r="Q35" s="60" t="s">
        <v>782</v>
      </c>
      <c r="R35" s="60" t="s">
        <v>783</v>
      </c>
      <c r="S35" s="60" t="s">
        <v>784</v>
      </c>
      <c r="T35" s="60" t="s">
        <v>785</v>
      </c>
      <c r="U35" s="60" t="s">
        <v>786</v>
      </c>
      <c r="V35" s="61" t="s">
        <v>787</v>
      </c>
      <c r="W35" s="60" t="s">
        <v>788</v>
      </c>
      <c r="X35" s="60" t="s">
        <v>789</v>
      </c>
      <c r="Y35" s="60" t="s">
        <v>790</v>
      </c>
      <c r="Z35" s="60" t="s">
        <v>791</v>
      </c>
      <c r="AA35" s="60" t="s">
        <v>792</v>
      </c>
      <c r="AB35" s="62" t="s">
        <v>793</v>
      </c>
    </row>
    <row r="36" spans="1:28" x14ac:dyDescent="0.3">
      <c r="A36" s="39" t="s">
        <v>794</v>
      </c>
      <c r="B36" s="39" t="str">
        <f t="shared" si="3"/>
        <v>Emberi gasztrointesztinális betegségek (a májbetegségeket is beleértve)</v>
      </c>
      <c r="C36" s="39" t="str">
        <f t="shared" si="5"/>
        <v>Transzlációs és alkalmazott kutatás: Emberi gasztrointesztinális betegségek (a májbetegségeket is beleértve) [PT26]</v>
      </c>
      <c r="D36" s="59" t="s">
        <v>795</v>
      </c>
      <c r="E36" s="60" t="s">
        <v>796</v>
      </c>
      <c r="F36" s="61" t="s">
        <v>797</v>
      </c>
      <c r="G36" s="60" t="s">
        <v>798</v>
      </c>
      <c r="H36" s="60" t="s">
        <v>799</v>
      </c>
      <c r="I36" s="55" t="s">
        <v>800</v>
      </c>
      <c r="J36" s="60" t="s">
        <v>801</v>
      </c>
      <c r="K36" s="60" t="s">
        <v>802</v>
      </c>
      <c r="L36" s="60" t="s">
        <v>803</v>
      </c>
      <c r="M36" s="60" t="s">
        <v>804</v>
      </c>
      <c r="N36" s="60"/>
      <c r="O36" s="60" t="s">
        <v>805</v>
      </c>
      <c r="P36" s="60" t="s">
        <v>806</v>
      </c>
      <c r="Q36" s="60" t="s">
        <v>807</v>
      </c>
      <c r="R36" s="60" t="s">
        <v>808</v>
      </c>
      <c r="S36" s="60" t="s">
        <v>809</v>
      </c>
      <c r="T36" s="60" t="s">
        <v>810</v>
      </c>
      <c r="U36" s="60" t="s">
        <v>811</v>
      </c>
      <c r="V36" s="61" t="s">
        <v>812</v>
      </c>
      <c r="W36" s="60" t="s">
        <v>813</v>
      </c>
      <c r="X36" s="60" t="s">
        <v>814</v>
      </c>
      <c r="Y36" s="60" t="s">
        <v>815</v>
      </c>
      <c r="Z36" s="60" t="s">
        <v>816</v>
      </c>
      <c r="AA36" s="60" t="s">
        <v>817</v>
      </c>
      <c r="AB36" s="62" t="s">
        <v>818</v>
      </c>
    </row>
    <row r="37" spans="1:28" x14ac:dyDescent="0.3">
      <c r="A37" s="39" t="s">
        <v>819</v>
      </c>
      <c r="B37" s="39" t="str">
        <f t="shared" si="3"/>
        <v>Emberi vázizomrendszeri betegségek</v>
      </c>
      <c r="C37" s="39" t="str">
        <f t="shared" si="5"/>
        <v>Transzlációs és alkalmazott kutatás: Emberi vázizomrendszeri betegségek [PT27]</v>
      </c>
      <c r="D37" s="59" t="s">
        <v>820</v>
      </c>
      <c r="E37" s="60" t="s">
        <v>821</v>
      </c>
      <c r="F37" s="61" t="s">
        <v>822</v>
      </c>
      <c r="G37" s="60" t="s">
        <v>823</v>
      </c>
      <c r="H37" s="60" t="s">
        <v>824</v>
      </c>
      <c r="I37" s="55" t="s">
        <v>825</v>
      </c>
      <c r="J37" s="60" t="s">
        <v>826</v>
      </c>
      <c r="K37" s="60" t="s">
        <v>827</v>
      </c>
      <c r="L37" s="60" t="s">
        <v>828</v>
      </c>
      <c r="M37" s="60" t="s">
        <v>829</v>
      </c>
      <c r="N37" s="60"/>
      <c r="O37" s="60" t="s">
        <v>830</v>
      </c>
      <c r="P37" s="60" t="s">
        <v>831</v>
      </c>
      <c r="Q37" s="60" t="s">
        <v>832</v>
      </c>
      <c r="R37" s="60" t="s">
        <v>833</v>
      </c>
      <c r="S37" s="60" t="s">
        <v>834</v>
      </c>
      <c r="T37" s="60" t="s">
        <v>835</v>
      </c>
      <c r="U37" s="60" t="s">
        <v>836</v>
      </c>
      <c r="V37" s="61" t="s">
        <v>837</v>
      </c>
      <c r="W37" s="60" t="s">
        <v>838</v>
      </c>
      <c r="X37" s="60" t="s">
        <v>839</v>
      </c>
      <c r="Y37" s="60" t="s">
        <v>840</v>
      </c>
      <c r="Z37" s="60" t="s">
        <v>841</v>
      </c>
      <c r="AA37" s="60" t="s">
        <v>842</v>
      </c>
      <c r="AB37" s="62" t="s">
        <v>843</v>
      </c>
    </row>
    <row r="38" spans="1:28" x14ac:dyDescent="0.3">
      <c r="A38" s="39" t="s">
        <v>844</v>
      </c>
      <c r="B38" s="39" t="str">
        <f t="shared" si="3"/>
        <v>Emberi immunbetegségek</v>
      </c>
      <c r="C38" s="39" t="str">
        <f t="shared" si="5"/>
        <v>Transzlációs és alkalmazott kutatás: Emberi immunbetegségek [PT28]</v>
      </c>
      <c r="D38" s="59" t="s">
        <v>845</v>
      </c>
      <c r="E38" s="60" t="s">
        <v>846</v>
      </c>
      <c r="F38" s="61" t="s">
        <v>847</v>
      </c>
      <c r="G38" s="60" t="s">
        <v>848</v>
      </c>
      <c r="H38" s="60" t="s">
        <v>849</v>
      </c>
      <c r="I38" s="55" t="s">
        <v>850</v>
      </c>
      <c r="J38" s="60" t="s">
        <v>851</v>
      </c>
      <c r="K38" s="60" t="s">
        <v>852</v>
      </c>
      <c r="L38" s="60" t="s">
        <v>853</v>
      </c>
      <c r="M38" s="60" t="s">
        <v>854</v>
      </c>
      <c r="N38" s="60"/>
      <c r="O38" s="60" t="s">
        <v>855</v>
      </c>
      <c r="P38" s="60" t="s">
        <v>856</v>
      </c>
      <c r="Q38" s="60" t="s">
        <v>857</v>
      </c>
      <c r="R38" s="60" t="s">
        <v>858</v>
      </c>
      <c r="S38" s="60" t="s">
        <v>859</v>
      </c>
      <c r="T38" s="60" t="s">
        <v>860</v>
      </c>
      <c r="U38" s="60" t="s">
        <v>861</v>
      </c>
      <c r="V38" s="61" t="s">
        <v>862</v>
      </c>
      <c r="W38" s="60" t="s">
        <v>863</v>
      </c>
      <c r="X38" s="60" t="s">
        <v>864</v>
      </c>
      <c r="Y38" s="60" t="s">
        <v>865</v>
      </c>
      <c r="Z38" s="60" t="s">
        <v>866</v>
      </c>
      <c r="AA38" s="60" t="s">
        <v>867</v>
      </c>
      <c r="AB38" s="62" t="s">
        <v>868</v>
      </c>
    </row>
    <row r="39" spans="1:28" x14ac:dyDescent="0.3">
      <c r="A39" s="39" t="s">
        <v>869</v>
      </c>
      <c r="B39" s="39" t="str">
        <f t="shared" si="3"/>
        <v>Emberi urogenitális/szaporodási betegségek</v>
      </c>
      <c r="C39" s="39" t="str">
        <f t="shared" si="5"/>
        <v>Transzlációs és alkalmazott kutatás: Emberi urogenitális/szaporodási betegségek [PT29]</v>
      </c>
      <c r="D39" s="59" t="s">
        <v>870</v>
      </c>
      <c r="E39" s="60" t="s">
        <v>871</v>
      </c>
      <c r="F39" s="61" t="s">
        <v>872</v>
      </c>
      <c r="G39" s="60" t="s">
        <v>873</v>
      </c>
      <c r="H39" s="60" t="s">
        <v>874</v>
      </c>
      <c r="I39" s="55" t="s">
        <v>875</v>
      </c>
      <c r="J39" s="60" t="s">
        <v>876</v>
      </c>
      <c r="K39" s="60" t="s">
        <v>877</v>
      </c>
      <c r="L39" s="60" t="s">
        <v>878</v>
      </c>
      <c r="M39" s="60" t="s">
        <v>879</v>
      </c>
      <c r="N39" s="60"/>
      <c r="O39" s="60" t="s">
        <v>880</v>
      </c>
      <c r="P39" s="60" t="s">
        <v>881</v>
      </c>
      <c r="Q39" s="60" t="s">
        <v>882</v>
      </c>
      <c r="R39" s="60" t="s">
        <v>883</v>
      </c>
      <c r="S39" s="60" t="s">
        <v>884</v>
      </c>
      <c r="T39" s="60" t="s">
        <v>885</v>
      </c>
      <c r="U39" s="60" t="s">
        <v>886</v>
      </c>
      <c r="V39" s="61" t="s">
        <v>887</v>
      </c>
      <c r="W39" s="60" t="s">
        <v>888</v>
      </c>
      <c r="X39" s="60" t="s">
        <v>889</v>
      </c>
      <c r="Y39" s="60" t="s">
        <v>890</v>
      </c>
      <c r="Z39" s="60" t="s">
        <v>891</v>
      </c>
      <c r="AA39" s="60" t="s">
        <v>892</v>
      </c>
      <c r="AB39" s="62" t="s">
        <v>893</v>
      </c>
    </row>
    <row r="40" spans="1:28" x14ac:dyDescent="0.3">
      <c r="A40" s="39" t="s">
        <v>894</v>
      </c>
      <c r="B40" s="39" t="str">
        <f t="shared" si="3"/>
        <v>Emberi érzékszervi (bőr-, szem- és fül-) betegségek</v>
      </c>
      <c r="C40" s="39" t="str">
        <f t="shared" si="5"/>
        <v>Transzlációs és alkalmazott kutatás: Emberi érzékszervi (bőr-, szem- és fül-) betegségek [PT30]</v>
      </c>
      <c r="D40" s="59" t="s">
        <v>895</v>
      </c>
      <c r="E40" s="60" t="s">
        <v>896</v>
      </c>
      <c r="F40" s="61" t="s">
        <v>897</v>
      </c>
      <c r="G40" s="60" t="s">
        <v>898</v>
      </c>
      <c r="H40" s="60" t="s">
        <v>899</v>
      </c>
      <c r="I40" s="55" t="s">
        <v>900</v>
      </c>
      <c r="J40" s="60" t="s">
        <v>901</v>
      </c>
      <c r="K40" s="60" t="s">
        <v>902</v>
      </c>
      <c r="L40" s="60" t="s">
        <v>903</v>
      </c>
      <c r="M40" s="60" t="s">
        <v>904</v>
      </c>
      <c r="N40" s="60"/>
      <c r="O40" s="60" t="s">
        <v>905</v>
      </c>
      <c r="P40" s="60" t="s">
        <v>906</v>
      </c>
      <c r="Q40" s="60" t="s">
        <v>907</v>
      </c>
      <c r="R40" s="60" t="s">
        <v>908</v>
      </c>
      <c r="S40" s="60" t="s">
        <v>909</v>
      </c>
      <c r="T40" s="60" t="s">
        <v>910</v>
      </c>
      <c r="U40" s="60" t="s">
        <v>911</v>
      </c>
      <c r="V40" s="61" t="s">
        <v>912</v>
      </c>
      <c r="W40" s="60" t="s">
        <v>913</v>
      </c>
      <c r="X40" s="60" t="s">
        <v>914</v>
      </c>
      <c r="Y40" s="60" t="s">
        <v>915</v>
      </c>
      <c r="Z40" s="60" t="s">
        <v>916</v>
      </c>
      <c r="AA40" s="60" t="s">
        <v>917</v>
      </c>
      <c r="AB40" s="62" t="s">
        <v>918</v>
      </c>
    </row>
    <row r="41" spans="1:28" x14ac:dyDescent="0.3">
      <c r="A41" s="39" t="s">
        <v>919</v>
      </c>
      <c r="B41" s="39" t="str">
        <f t="shared" si="3"/>
        <v>Emberi endokrin/anyagcsere-betegségek</v>
      </c>
      <c r="C41" s="39" t="str">
        <f t="shared" si="5"/>
        <v>Transzlációs és alkalmazott kutatás: Emberi endokrin/anyagcsere-betegségek [PT31]</v>
      </c>
      <c r="D41" s="59" t="s">
        <v>920</v>
      </c>
      <c r="E41" s="60" t="s">
        <v>921</v>
      </c>
      <c r="F41" s="61" t="s">
        <v>922</v>
      </c>
      <c r="G41" s="60" t="s">
        <v>923</v>
      </c>
      <c r="H41" s="60" t="s">
        <v>924</v>
      </c>
      <c r="I41" s="55" t="s">
        <v>925</v>
      </c>
      <c r="J41" s="60" t="s">
        <v>926</v>
      </c>
      <c r="K41" s="60" t="s">
        <v>927</v>
      </c>
      <c r="L41" s="60" t="s">
        <v>928</v>
      </c>
      <c r="M41" s="60" t="s">
        <v>929</v>
      </c>
      <c r="N41" s="60"/>
      <c r="O41" s="60" t="s">
        <v>930</v>
      </c>
      <c r="P41" s="60" t="s">
        <v>931</v>
      </c>
      <c r="Q41" s="60" t="s">
        <v>932</v>
      </c>
      <c r="R41" s="60" t="s">
        <v>933</v>
      </c>
      <c r="S41" s="60" t="s">
        <v>934</v>
      </c>
      <c r="T41" s="60" t="s">
        <v>935</v>
      </c>
      <c r="U41" s="60" t="s">
        <v>936</v>
      </c>
      <c r="V41" s="61" t="s">
        <v>937</v>
      </c>
      <c r="W41" s="60" t="s">
        <v>938</v>
      </c>
      <c r="X41" s="60" t="s">
        <v>939</v>
      </c>
      <c r="Y41" s="60" t="s">
        <v>940</v>
      </c>
      <c r="Z41" s="60" t="s">
        <v>941</v>
      </c>
      <c r="AA41" s="60" t="s">
        <v>942</v>
      </c>
      <c r="AB41" s="62" t="s">
        <v>943</v>
      </c>
    </row>
    <row r="42" spans="1:28" x14ac:dyDescent="0.3">
      <c r="A42" s="39" t="s">
        <v>944</v>
      </c>
      <c r="B42" s="39" t="str">
        <f t="shared" si="3"/>
        <v>Egyéb emberi betegségek</v>
      </c>
      <c r="C42" s="39" t="str">
        <f t="shared" si="5"/>
        <v>Transzlációs és alkalmazott kutatás: Egyéb emberi betegségek [PT32]</v>
      </c>
      <c r="D42" s="59" t="s">
        <v>945</v>
      </c>
      <c r="E42" s="60" t="s">
        <v>946</v>
      </c>
      <c r="F42" s="61" t="s">
        <v>947</v>
      </c>
      <c r="G42" s="60" t="s">
        <v>948</v>
      </c>
      <c r="H42" s="60" t="s">
        <v>949</v>
      </c>
      <c r="I42" s="55" t="s">
        <v>950</v>
      </c>
      <c r="J42" s="60" t="s">
        <v>951</v>
      </c>
      <c r="K42" s="60" t="s">
        <v>952</v>
      </c>
      <c r="L42" s="60" t="s">
        <v>953</v>
      </c>
      <c r="M42" s="60" t="s">
        <v>954</v>
      </c>
      <c r="N42" s="60"/>
      <c r="O42" s="60" t="s">
        <v>955</v>
      </c>
      <c r="P42" s="60" t="s">
        <v>956</v>
      </c>
      <c r="Q42" s="60" t="s">
        <v>957</v>
      </c>
      <c r="R42" s="60" t="s">
        <v>958</v>
      </c>
      <c r="S42" s="60" t="s">
        <v>959</v>
      </c>
      <c r="T42" s="60" t="s">
        <v>960</v>
      </c>
      <c r="U42" s="60" t="s">
        <v>961</v>
      </c>
      <c r="V42" s="61" t="s">
        <v>962</v>
      </c>
      <c r="W42" s="60" t="s">
        <v>963</v>
      </c>
      <c r="X42" s="60" t="s">
        <v>964</v>
      </c>
      <c r="Y42" s="60" t="s">
        <v>965</v>
      </c>
      <c r="Z42" s="60" t="s">
        <v>966</v>
      </c>
      <c r="AA42" s="60" t="s">
        <v>967</v>
      </c>
      <c r="AB42" s="62" t="s">
        <v>968</v>
      </c>
    </row>
    <row r="43" spans="1:28" x14ac:dyDescent="0.3">
      <c r="A43" s="39" t="s">
        <v>969</v>
      </c>
      <c r="B43" s="39" t="str">
        <f t="shared" si="3"/>
        <v>Állatbetegségek</v>
      </c>
      <c r="C43" s="39" t="str">
        <f t="shared" si="5"/>
        <v>Transzlációs és alkalmazott kutatás: Állatbetegségek [PT33]</v>
      </c>
      <c r="D43" s="59" t="s">
        <v>970</v>
      </c>
      <c r="E43" s="60" t="s">
        <v>971</v>
      </c>
      <c r="F43" s="61" t="s">
        <v>972</v>
      </c>
      <c r="G43" s="60" t="s">
        <v>973</v>
      </c>
      <c r="H43" s="60" t="s">
        <v>974</v>
      </c>
      <c r="I43" s="55" t="s">
        <v>975</v>
      </c>
      <c r="J43" s="60" t="s">
        <v>976</v>
      </c>
      <c r="K43" s="60" t="s">
        <v>977</v>
      </c>
      <c r="L43" s="60" t="s">
        <v>978</v>
      </c>
      <c r="M43" s="60" t="s">
        <v>979</v>
      </c>
      <c r="N43" s="60"/>
      <c r="O43" s="60" t="s">
        <v>980</v>
      </c>
      <c r="P43" s="60" t="s">
        <v>981</v>
      </c>
      <c r="Q43" s="60" t="s">
        <v>982</v>
      </c>
      <c r="R43" s="60" t="s">
        <v>983</v>
      </c>
      <c r="S43" s="60" t="s">
        <v>984</v>
      </c>
      <c r="T43" s="60" t="s">
        <v>985</v>
      </c>
      <c r="U43" s="60" t="s">
        <v>986</v>
      </c>
      <c r="V43" s="61" t="s">
        <v>987</v>
      </c>
      <c r="W43" s="60" t="s">
        <v>988</v>
      </c>
      <c r="X43" s="60" t="s">
        <v>989</v>
      </c>
      <c r="Y43" s="60" t="s">
        <v>990</v>
      </c>
      <c r="Z43" s="60" t="s">
        <v>991</v>
      </c>
      <c r="AA43" s="60" t="s">
        <v>992</v>
      </c>
      <c r="AB43" s="62" t="s">
        <v>993</v>
      </c>
    </row>
    <row r="44" spans="1:28" x14ac:dyDescent="0.3">
      <c r="A44" s="70" t="s">
        <v>994</v>
      </c>
      <c r="B44" s="39" t="str">
        <f t="shared" si="3"/>
        <v>Takarmányozás</v>
      </c>
      <c r="C44" s="39" t="str">
        <f t="shared" si="5"/>
        <v>Transzlációs és alkalmazott kutatás: Takarmányozás [PT38]</v>
      </c>
      <c r="D44" s="59" t="s">
        <v>995</v>
      </c>
      <c r="E44" s="60" t="s">
        <v>996</v>
      </c>
      <c r="F44" s="61" t="s">
        <v>997</v>
      </c>
      <c r="G44" s="60" t="s">
        <v>998</v>
      </c>
      <c r="H44" s="60" t="s">
        <v>999</v>
      </c>
      <c r="I44" s="55" t="s">
        <v>1000</v>
      </c>
      <c r="J44" s="60" t="s">
        <v>1001</v>
      </c>
      <c r="K44" s="60" t="s">
        <v>1002</v>
      </c>
      <c r="L44" s="60" t="s">
        <v>1003</v>
      </c>
      <c r="M44" s="60" t="s">
        <v>1004</v>
      </c>
      <c r="N44" s="60"/>
      <c r="O44" s="60" t="s">
        <v>1005</v>
      </c>
      <c r="P44" s="60" t="s">
        <v>1006</v>
      </c>
      <c r="Q44" s="60" t="s">
        <v>1007</v>
      </c>
      <c r="R44" s="60" t="s">
        <v>1008</v>
      </c>
      <c r="S44" s="60" t="s">
        <v>1009</v>
      </c>
      <c r="T44" s="60" t="s">
        <v>1010</v>
      </c>
      <c r="U44" s="60" t="s">
        <v>1011</v>
      </c>
      <c r="V44" s="61" t="s">
        <v>1012</v>
      </c>
      <c r="W44" s="60" t="s">
        <v>1013</v>
      </c>
      <c r="X44" s="60" t="s">
        <v>1014</v>
      </c>
      <c r="Y44" s="60" t="s">
        <v>1015</v>
      </c>
      <c r="Z44" s="60" t="s">
        <v>1016</v>
      </c>
      <c r="AA44" s="60" t="s">
        <v>1017</v>
      </c>
      <c r="AB44" s="62" t="s">
        <v>1018</v>
      </c>
    </row>
    <row r="45" spans="1:28" x14ac:dyDescent="0.3">
      <c r="A45" s="39" t="s">
        <v>1019</v>
      </c>
      <c r="B45" s="39" t="str">
        <f t="shared" si="3"/>
        <v>Állatjóllét</v>
      </c>
      <c r="C45" s="39" t="str">
        <f t="shared" si="5"/>
        <v>Transzlációs és alkalmazott kutatás: Állatjóllét [PT34]</v>
      </c>
      <c r="D45" s="59" t="s">
        <v>1020</v>
      </c>
      <c r="E45" s="60" t="s">
        <v>1021</v>
      </c>
      <c r="F45" s="61" t="s">
        <v>1022</v>
      </c>
      <c r="G45" s="60" t="s">
        <v>1023</v>
      </c>
      <c r="H45" s="60" t="s">
        <v>1024</v>
      </c>
      <c r="I45" s="55" t="s">
        <v>1025</v>
      </c>
      <c r="J45" s="60" t="s">
        <v>1026</v>
      </c>
      <c r="K45" s="60" t="s">
        <v>1027</v>
      </c>
      <c r="L45" s="60" t="s">
        <v>1028</v>
      </c>
      <c r="M45" s="60" t="s">
        <v>1029</v>
      </c>
      <c r="N45" s="60"/>
      <c r="O45" s="60" t="s">
        <v>1030</v>
      </c>
      <c r="P45" s="60" t="s">
        <v>1031</v>
      </c>
      <c r="Q45" s="60" t="s">
        <v>1032</v>
      </c>
      <c r="R45" s="60" t="s">
        <v>1033</v>
      </c>
      <c r="S45" s="60" t="s">
        <v>1034</v>
      </c>
      <c r="T45" s="60" t="s">
        <v>1035</v>
      </c>
      <c r="U45" s="60" t="s">
        <v>1036</v>
      </c>
      <c r="V45" s="61" t="s">
        <v>1037</v>
      </c>
      <c r="W45" s="60" t="s">
        <v>1038</v>
      </c>
      <c r="X45" s="60" t="s">
        <v>1039</v>
      </c>
      <c r="Y45" s="60" t="s">
        <v>1040</v>
      </c>
      <c r="Z45" s="60" t="s">
        <v>1041</v>
      </c>
      <c r="AA45" s="60" t="s">
        <v>1042</v>
      </c>
      <c r="AB45" s="62" t="s">
        <v>1043</v>
      </c>
    </row>
    <row r="46" spans="1:28" x14ac:dyDescent="0.3">
      <c r="A46" s="39" t="s">
        <v>1044</v>
      </c>
      <c r="B46" s="39" t="str">
        <f t="shared" si="3"/>
        <v>Betegségek diagnózisa</v>
      </c>
      <c r="C46" s="39" t="str">
        <f t="shared" si="5"/>
        <v>Transzlációs és alkalmazott kutatás: Betegségek diagnózisa [PT35]</v>
      </c>
      <c r="D46" s="59" t="s">
        <v>1045</v>
      </c>
      <c r="E46" s="60" t="s">
        <v>1046</v>
      </c>
      <c r="F46" s="61" t="s">
        <v>1047</v>
      </c>
      <c r="G46" s="60" t="s">
        <v>1048</v>
      </c>
      <c r="H46" s="60" t="s">
        <v>1049</v>
      </c>
      <c r="I46" s="55" t="s">
        <v>1050</v>
      </c>
      <c r="J46" s="60" t="s">
        <v>1051</v>
      </c>
      <c r="K46" s="60" t="s">
        <v>1052</v>
      </c>
      <c r="L46" s="60" t="s">
        <v>1053</v>
      </c>
      <c r="M46" s="60" t="s">
        <v>1054</v>
      </c>
      <c r="N46" s="60"/>
      <c r="O46" s="60" t="s">
        <v>1055</v>
      </c>
      <c r="P46" s="60" t="s">
        <v>1056</v>
      </c>
      <c r="Q46" s="60" t="s">
        <v>1057</v>
      </c>
      <c r="R46" s="60" t="s">
        <v>1058</v>
      </c>
      <c r="S46" s="60" t="s">
        <v>1059</v>
      </c>
      <c r="T46" s="60" t="s">
        <v>1060</v>
      </c>
      <c r="U46" s="60" t="s">
        <v>1061</v>
      </c>
      <c r="V46" s="61" t="s">
        <v>1062</v>
      </c>
      <c r="W46" s="60" t="s">
        <v>1063</v>
      </c>
      <c r="X46" s="60" t="s">
        <v>1064</v>
      </c>
      <c r="Y46" s="60" t="s">
        <v>1065</v>
      </c>
      <c r="Z46" s="60" t="s">
        <v>1066</v>
      </c>
      <c r="AA46" s="60" t="s">
        <v>1067</v>
      </c>
      <c r="AB46" s="62" t="s">
        <v>1068</v>
      </c>
    </row>
    <row r="47" spans="1:28" x14ac:dyDescent="0.3">
      <c r="A47" s="39" t="s">
        <v>1069</v>
      </c>
      <c r="B47" s="39" t="str">
        <f t="shared" si="3"/>
        <v>Növénybetegségek</v>
      </c>
      <c r="C47" s="39" t="str">
        <f t="shared" si="5"/>
        <v>Transzlációs és alkalmazott kutatás: Növénybetegségek [PT36]</v>
      </c>
      <c r="D47" s="59" t="s">
        <v>1070</v>
      </c>
      <c r="E47" s="60" t="s">
        <v>1071</v>
      </c>
      <c r="F47" s="61" t="s">
        <v>1072</v>
      </c>
      <c r="G47" s="60" t="s">
        <v>1073</v>
      </c>
      <c r="H47" s="60" t="s">
        <v>1074</v>
      </c>
      <c r="I47" s="55" t="s">
        <v>1075</v>
      </c>
      <c r="J47" s="60" t="s">
        <v>1076</v>
      </c>
      <c r="K47" s="60" t="s">
        <v>1077</v>
      </c>
      <c r="L47" s="60" t="s">
        <v>1078</v>
      </c>
      <c r="M47" s="60" t="s">
        <v>1079</v>
      </c>
      <c r="N47" s="60"/>
      <c r="O47" s="60" t="s">
        <v>1080</v>
      </c>
      <c r="P47" s="60" t="s">
        <v>1081</v>
      </c>
      <c r="Q47" s="60" t="s">
        <v>1082</v>
      </c>
      <c r="R47" s="60" t="s">
        <v>1083</v>
      </c>
      <c r="S47" s="60" t="s">
        <v>1084</v>
      </c>
      <c r="T47" s="60" t="s">
        <v>1085</v>
      </c>
      <c r="U47" s="60" t="s">
        <v>1086</v>
      </c>
      <c r="V47" s="61" t="s">
        <v>1087</v>
      </c>
      <c r="W47" s="60" t="s">
        <v>1088</v>
      </c>
      <c r="X47" s="60" t="s">
        <v>1089</v>
      </c>
      <c r="Y47" s="60" t="s">
        <v>1090</v>
      </c>
      <c r="Z47" s="60" t="s">
        <v>1091</v>
      </c>
      <c r="AA47" s="60" t="s">
        <v>1092</v>
      </c>
      <c r="AB47" s="62" t="s">
        <v>1093</v>
      </c>
    </row>
    <row r="48" spans="1:28" x14ac:dyDescent="0.3">
      <c r="A48" s="39" t="s">
        <v>1094</v>
      </c>
      <c r="B48" s="39" t="str">
        <f t="shared" si="3"/>
        <v>Nem hatósági toxikológiai és ökotoxikológiai vizsgálatok</v>
      </c>
      <c r="C48" s="39" t="str">
        <f t="shared" si="5"/>
        <v>Transzlációs és alkalmazott kutatás: Nem hatósági toxikológiai és ökotoxikológiai vizsgálatok [PT37]</v>
      </c>
      <c r="D48" s="59" t="s">
        <v>1095</v>
      </c>
      <c r="E48" s="60" t="s">
        <v>1096</v>
      </c>
      <c r="F48" s="61" t="s">
        <v>1097</v>
      </c>
      <c r="G48" s="60" t="s">
        <v>1098</v>
      </c>
      <c r="H48" s="60" t="s">
        <v>1099</v>
      </c>
      <c r="I48" s="55" t="s">
        <v>1100</v>
      </c>
      <c r="J48" s="60" t="s">
        <v>1101</v>
      </c>
      <c r="K48" s="60" t="s">
        <v>1102</v>
      </c>
      <c r="L48" s="60" t="s">
        <v>1103</v>
      </c>
      <c r="M48" s="60" t="s">
        <v>1104</v>
      </c>
      <c r="N48" s="60"/>
      <c r="O48" s="60" t="s">
        <v>1105</v>
      </c>
      <c r="P48" s="60" t="s">
        <v>1106</v>
      </c>
      <c r="Q48" s="60" t="s">
        <v>1107</v>
      </c>
      <c r="R48" s="60" t="s">
        <v>1108</v>
      </c>
      <c r="S48" s="60" t="s">
        <v>1109</v>
      </c>
      <c r="T48" s="60" t="s">
        <v>1110</v>
      </c>
      <c r="U48" s="60" t="s">
        <v>1111</v>
      </c>
      <c r="V48" s="61" t="s">
        <v>1112</v>
      </c>
      <c r="W48" s="60" t="s">
        <v>1113</v>
      </c>
      <c r="X48" s="60" t="s">
        <v>1114</v>
      </c>
      <c r="Y48" s="60" t="s">
        <v>1115</v>
      </c>
      <c r="Z48" s="60" t="s">
        <v>1116</v>
      </c>
      <c r="AA48" s="60" t="s">
        <v>1117</v>
      </c>
      <c r="AB48" s="62" t="s">
        <v>1118</v>
      </c>
    </row>
    <row r="49" spans="1:28" x14ac:dyDescent="0.3">
      <c r="A49" s="70" t="s">
        <v>1119</v>
      </c>
      <c r="B49" s="39" t="str">
        <f t="shared" si="3"/>
        <v>Minőség-ellenőrzés (ideértve a gyártási tételek ártalmatlansági és hatáserősségi vizsgálatát)</v>
      </c>
      <c r="C49" s="39" t="str">
        <f>CONCATENATE(B$7,": ",B49," [",A49,"]")</f>
        <v>Hatósági vizsgálatok és rutinszerű gyártás: Minőség-ellenőrzés (ideértve a gyártási tételek ártalmatlansági és hatáserősségi vizsgálatát) [PRQC]</v>
      </c>
      <c r="D49" s="59" t="s">
        <v>1120</v>
      </c>
      <c r="E49" s="60" t="s">
        <v>1121</v>
      </c>
      <c r="F49" s="61" t="s">
        <v>1122</v>
      </c>
      <c r="G49" s="60" t="s">
        <v>1123</v>
      </c>
      <c r="H49" s="60" t="s">
        <v>1124</v>
      </c>
      <c r="I49" s="55" t="s">
        <v>1125</v>
      </c>
      <c r="J49" s="60" t="s">
        <v>1126</v>
      </c>
      <c r="K49" s="60" t="s">
        <v>1127</v>
      </c>
      <c r="L49" s="60" t="s">
        <v>1128</v>
      </c>
      <c r="M49" s="60" t="s">
        <v>1129</v>
      </c>
      <c r="N49" s="60"/>
      <c r="O49" s="60" t="s">
        <v>1130</v>
      </c>
      <c r="P49" s="60" t="s">
        <v>1131</v>
      </c>
      <c r="Q49" s="60" t="s">
        <v>1132</v>
      </c>
      <c r="R49" s="60" t="s">
        <v>1133</v>
      </c>
      <c r="S49" s="60" t="s">
        <v>1134</v>
      </c>
      <c r="T49" s="60" t="s">
        <v>1135</v>
      </c>
      <c r="U49" s="60" t="s">
        <v>1136</v>
      </c>
      <c r="V49" s="61" t="s">
        <v>1137</v>
      </c>
      <c r="W49" s="60" t="s">
        <v>1138</v>
      </c>
      <c r="X49" s="60" t="s">
        <v>1139</v>
      </c>
      <c r="Y49" s="60" t="s">
        <v>1140</v>
      </c>
      <c r="Z49" s="60" t="s">
        <v>1141</v>
      </c>
      <c r="AA49" s="60" t="s">
        <v>1142</v>
      </c>
      <c r="AB49" s="62" t="s">
        <v>1143</v>
      </c>
    </row>
    <row r="50" spans="1:28" x14ac:dyDescent="0.3">
      <c r="A50" s="39" t="s">
        <v>1144</v>
      </c>
      <c r="B50" s="39" t="str">
        <f t="shared" si="3"/>
        <v>Egyéb hatékonysági és toleranciavizsgálat</v>
      </c>
      <c r="C50" s="39" t="str">
        <f>CONCATENATE(B$7,": ",B50," [",A50,"]")</f>
        <v>Hatósági vizsgálatok és rutinszerű gyártás: Egyéb hatékonysági és toleranciavizsgálat [PR71]</v>
      </c>
      <c r="D50" s="59" t="s">
        <v>1145</v>
      </c>
      <c r="E50" s="60" t="s">
        <v>1146</v>
      </c>
      <c r="F50" s="61" t="s">
        <v>1147</v>
      </c>
      <c r="G50" s="60" t="s">
        <v>1148</v>
      </c>
      <c r="H50" s="60" t="s">
        <v>1149</v>
      </c>
      <c r="I50" s="55" t="s">
        <v>1150</v>
      </c>
      <c r="J50" s="60" t="s">
        <v>1151</v>
      </c>
      <c r="K50" s="60" t="s">
        <v>1152</v>
      </c>
      <c r="L50" s="60" t="s">
        <v>1153</v>
      </c>
      <c r="M50" s="60" t="s">
        <v>1154</v>
      </c>
      <c r="N50" s="60"/>
      <c r="O50" s="60" t="s">
        <v>1155</v>
      </c>
      <c r="P50" s="60" t="s">
        <v>1156</v>
      </c>
      <c r="Q50" s="60" t="s">
        <v>1157</v>
      </c>
      <c r="R50" s="60" t="s">
        <v>1158</v>
      </c>
      <c r="S50" s="60" t="s">
        <v>1159</v>
      </c>
      <c r="T50" s="60" t="s">
        <v>1160</v>
      </c>
      <c r="U50" s="60" t="s">
        <v>1161</v>
      </c>
      <c r="V50" s="61" t="s">
        <v>1162</v>
      </c>
      <c r="W50" s="60" t="s">
        <v>1163</v>
      </c>
      <c r="X50" s="60" t="s">
        <v>1164</v>
      </c>
      <c r="Y50" s="60" t="s">
        <v>1165</v>
      </c>
      <c r="Z50" s="60" t="s">
        <v>1166</v>
      </c>
      <c r="AA50" s="60" t="s">
        <v>1167</v>
      </c>
      <c r="AB50" s="62" t="s">
        <v>1168</v>
      </c>
    </row>
    <row r="51" spans="1:28" x14ac:dyDescent="0.3">
      <c r="A51" s="70" t="s">
        <v>1169</v>
      </c>
      <c r="B51" s="39" t="str">
        <f t="shared" si="3"/>
        <v>Toxicitási és egyéb biztonsági vizsgálatok, ideértve a farmakológiát is</v>
      </c>
      <c r="C51" s="39" t="str">
        <f>CONCATENATE(B$7,": ",B51," [",A51,"]")</f>
        <v>Hatósági vizsgálatok és rutinszerű gyártás: Toxicitási és egyéb biztonsági vizsgálatok, ideértve a farmakológiát is [PRTS]</v>
      </c>
      <c r="D51" s="59" t="s">
        <v>1170</v>
      </c>
      <c r="E51" s="60" t="s">
        <v>1171</v>
      </c>
      <c r="F51" s="61" t="s">
        <v>1172</v>
      </c>
      <c r="G51" s="60" t="s">
        <v>1173</v>
      </c>
      <c r="H51" s="60" t="s">
        <v>1174</v>
      </c>
      <c r="I51" s="55" t="s">
        <v>1175</v>
      </c>
      <c r="J51" s="60" t="s">
        <v>1176</v>
      </c>
      <c r="K51" s="60" t="s">
        <v>1177</v>
      </c>
      <c r="L51" s="60" t="s">
        <v>1178</v>
      </c>
      <c r="M51" s="60" t="s">
        <v>1179</v>
      </c>
      <c r="N51" s="60"/>
      <c r="O51" s="60" t="s">
        <v>1180</v>
      </c>
      <c r="P51" s="60" t="s">
        <v>1181</v>
      </c>
      <c r="Q51" s="60" t="s">
        <v>1182</v>
      </c>
      <c r="R51" s="60" t="s">
        <v>1183</v>
      </c>
      <c r="S51" s="60" t="s">
        <v>1184</v>
      </c>
      <c r="T51" s="60" t="s">
        <v>1185</v>
      </c>
      <c r="U51" s="60" t="s">
        <v>1186</v>
      </c>
      <c r="V51" s="61" t="s">
        <v>1187</v>
      </c>
      <c r="W51" s="60" t="s">
        <v>1188</v>
      </c>
      <c r="X51" s="60" t="s">
        <v>1189</v>
      </c>
      <c r="Y51" s="60" t="s">
        <v>1190</v>
      </c>
      <c r="Z51" s="60" t="s">
        <v>1191</v>
      </c>
      <c r="AA51" s="60" t="s">
        <v>1192</v>
      </c>
      <c r="AB51" s="62" t="s">
        <v>1193</v>
      </c>
    </row>
    <row r="52" spans="1:28" x14ac:dyDescent="0.3">
      <c r="A52" s="70" t="s">
        <v>1194</v>
      </c>
      <c r="B52" s="39" t="str">
        <f t="shared" si="3"/>
        <v>Rutinszerű gyártás – terméktípusok</v>
      </c>
      <c r="C52" s="39" t="str">
        <f>CONCATENATE(B$7,": ",B52," [",A52,"]")</f>
        <v>Hatósági vizsgálatok és rutinszerű gyártás: Rutinszerű gyártás – terméktípusok [PRRP]</v>
      </c>
      <c r="D52" s="59" t="s">
        <v>1195</v>
      </c>
      <c r="E52" s="60" t="s">
        <v>1196</v>
      </c>
      <c r="F52" s="61" t="s">
        <v>1197</v>
      </c>
      <c r="G52" s="60" t="s">
        <v>1198</v>
      </c>
      <c r="H52" s="60" t="s">
        <v>1199</v>
      </c>
      <c r="I52" s="55" t="s">
        <v>1200</v>
      </c>
      <c r="J52" s="60" t="s">
        <v>1201</v>
      </c>
      <c r="K52" s="60" t="s">
        <v>1202</v>
      </c>
      <c r="L52" s="60" t="s">
        <v>1203</v>
      </c>
      <c r="M52" s="60" t="s">
        <v>1204</v>
      </c>
      <c r="N52" s="60"/>
      <c r="O52" s="60" t="s">
        <v>1205</v>
      </c>
      <c r="P52" s="60" t="s">
        <v>1206</v>
      </c>
      <c r="Q52" s="60" t="s">
        <v>1207</v>
      </c>
      <c r="R52" s="60" t="s">
        <v>1208</v>
      </c>
      <c r="S52" s="60" t="s">
        <v>1209</v>
      </c>
      <c r="T52" s="60" t="s">
        <v>1210</v>
      </c>
      <c r="U52" s="60" t="s">
        <v>1211</v>
      </c>
      <c r="V52" s="61" t="s">
        <v>1212</v>
      </c>
      <c r="W52" s="60" t="s">
        <v>1213</v>
      </c>
      <c r="X52" s="60" t="s">
        <v>1214</v>
      </c>
      <c r="Y52" s="60" t="s">
        <v>1215</v>
      </c>
      <c r="Z52" s="60" t="s">
        <v>1216</v>
      </c>
      <c r="AA52" s="60" t="s">
        <v>1217</v>
      </c>
      <c r="AB52" s="62" t="s">
        <v>1218</v>
      </c>
    </row>
    <row r="53" spans="1:28" x14ac:dyDescent="0.3">
      <c r="A53" s="71" t="s">
        <v>155</v>
      </c>
      <c r="C53" s="39" t="str">
        <f>CONCATENATE(B$8," [",A53,"]")</f>
        <v>A természetes környezet védelme az emberek vagy állatok egészsége vagy jólléte érdekében [PE40]</v>
      </c>
      <c r="D53" s="72"/>
      <c r="E53" s="55"/>
      <c r="F53" s="55"/>
      <c r="G53" s="55"/>
      <c r="H53" s="55"/>
      <c r="I53" s="55"/>
      <c r="J53" s="55"/>
      <c r="K53" s="55"/>
      <c r="L53" s="55"/>
      <c r="M53" s="55"/>
      <c r="N53" s="55"/>
      <c r="O53" s="55"/>
      <c r="P53" s="55"/>
      <c r="Q53" s="55"/>
      <c r="R53" s="55"/>
      <c r="S53" s="55"/>
      <c r="T53" s="55"/>
      <c r="U53" s="55"/>
      <c r="V53" s="55"/>
      <c r="W53" s="55"/>
      <c r="X53" s="55"/>
      <c r="Y53" s="55"/>
      <c r="Z53" s="55"/>
      <c r="AA53" s="55"/>
      <c r="AB53" s="73"/>
    </row>
    <row r="54" spans="1:28" x14ac:dyDescent="0.3">
      <c r="A54" s="55" t="s">
        <v>180</v>
      </c>
      <c r="C54" s="39" t="str">
        <f>CONCATENATE(B$9," [",A54,"]")</f>
        <v>Fajok megőrzése [PS41]</v>
      </c>
      <c r="D54" s="72"/>
      <c r="E54" s="55"/>
      <c r="F54" s="55"/>
      <c r="G54" s="55"/>
      <c r="H54" s="55"/>
      <c r="I54" s="55"/>
      <c r="J54" s="55"/>
      <c r="K54" s="55"/>
      <c r="L54" s="55"/>
      <c r="M54" s="55"/>
      <c r="N54" s="55"/>
      <c r="O54" s="55"/>
      <c r="P54" s="55"/>
      <c r="Q54" s="55"/>
      <c r="R54" s="55"/>
      <c r="S54" s="55"/>
      <c r="T54" s="55"/>
      <c r="U54" s="55"/>
      <c r="V54" s="55"/>
      <c r="W54" s="55"/>
      <c r="X54" s="55"/>
      <c r="Y54" s="55"/>
      <c r="Z54" s="55"/>
      <c r="AA54" s="55"/>
      <c r="AB54" s="73"/>
    </row>
    <row r="55" spans="1:28" x14ac:dyDescent="0.3">
      <c r="A55" s="63" t="s">
        <v>205</v>
      </c>
      <c r="C55" s="39" t="str">
        <f>CONCATENATE(B$10," [",A55,"]")</f>
        <v>Felsőoktatás [PE42-1]</v>
      </c>
      <c r="D55" s="72"/>
      <c r="E55" s="55"/>
      <c r="F55" s="55"/>
      <c r="G55" s="55"/>
      <c r="H55" s="55"/>
      <c r="I55" s="55"/>
      <c r="J55" s="55"/>
      <c r="K55" s="55"/>
      <c r="L55" s="55"/>
      <c r="M55" s="55"/>
      <c r="N55" s="55"/>
      <c r="O55" s="55"/>
      <c r="P55" s="55"/>
      <c r="Q55" s="55"/>
      <c r="R55" s="55"/>
      <c r="S55" s="55"/>
      <c r="T55" s="55"/>
      <c r="U55" s="55"/>
      <c r="V55" s="55"/>
      <c r="W55" s="55"/>
      <c r="X55" s="55"/>
      <c r="Y55" s="55"/>
      <c r="Z55" s="55"/>
      <c r="AA55" s="55"/>
      <c r="AB55" s="73"/>
    </row>
    <row r="56" spans="1:28" x14ac:dyDescent="0.3">
      <c r="A56" s="63" t="s">
        <v>230</v>
      </c>
      <c r="C56" s="39" t="str">
        <f>CONCATENATE(B$11," [",A56,"]")</f>
        <v>Képzés a szakmai készségek megszerzése, fenntartása vagy fejlesztése céljából [PE42-2]</v>
      </c>
      <c r="D56" s="72"/>
      <c r="E56" s="55"/>
      <c r="F56" s="55"/>
      <c r="G56" s="55"/>
      <c r="H56" s="55"/>
      <c r="I56" s="55"/>
      <c r="J56" s="55"/>
      <c r="K56" s="55"/>
      <c r="L56" s="55"/>
      <c r="M56" s="55"/>
      <c r="N56" s="55"/>
      <c r="O56" s="55"/>
      <c r="P56" s="55"/>
      <c r="Q56" s="55"/>
      <c r="R56" s="55"/>
      <c r="S56" s="55"/>
      <c r="T56" s="55"/>
      <c r="U56" s="55"/>
      <c r="V56" s="55"/>
      <c r="W56" s="55"/>
      <c r="X56" s="55"/>
      <c r="Y56" s="55"/>
      <c r="Z56" s="55"/>
      <c r="AA56" s="55"/>
      <c r="AB56" s="73"/>
    </row>
    <row r="57" spans="1:28" x14ac:dyDescent="0.3">
      <c r="A57" s="55" t="s">
        <v>255</v>
      </c>
      <c r="C57" s="39" t="str">
        <f>CONCATENATE(B$12," [",A57,"]")</f>
        <v>Igazságügyi orvostani vizsgálat [PF43]</v>
      </c>
      <c r="D57" s="72"/>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1:28" x14ac:dyDescent="0.3">
      <c r="A58" s="55" t="s">
        <v>280</v>
      </c>
      <c r="C58" s="39" t="str">
        <f>CONCATENATE(B$13," [",A58,"]")</f>
        <v>Egyéb eljárásokban nem használt, géntechnológiával módosított állatok stabil fajtavonalai kolóniáinak fenntartása [PG43]</v>
      </c>
      <c r="D58" s="72"/>
      <c r="E58" s="55"/>
      <c r="F58" s="55"/>
      <c r="G58" s="55"/>
      <c r="H58" s="55"/>
      <c r="I58" s="55"/>
      <c r="J58" s="55"/>
      <c r="K58" s="55"/>
      <c r="L58" s="55"/>
      <c r="M58" s="55"/>
      <c r="N58" s="55"/>
      <c r="O58" s="55"/>
      <c r="P58" s="55"/>
      <c r="Q58" s="55"/>
      <c r="R58" s="55"/>
      <c r="S58" s="55"/>
      <c r="T58" s="55"/>
      <c r="U58" s="55"/>
      <c r="V58" s="55"/>
      <c r="W58" s="55"/>
      <c r="X58" s="55"/>
      <c r="Y58" s="55"/>
      <c r="Z58" s="55"/>
      <c r="AA58" s="55"/>
      <c r="AB58" s="73"/>
    </row>
    <row r="59" spans="1:28" x14ac:dyDescent="0.3">
      <c r="A59" s="55" t="s">
        <v>305</v>
      </c>
      <c r="C59" s="39" t="str">
        <f>CONCATENATE(B$14," [",A59,"]")</f>
        <v>Nem uniós cél [PN107]</v>
      </c>
      <c r="D59" s="74"/>
      <c r="E59" s="67"/>
      <c r="F59" s="67"/>
      <c r="G59" s="67"/>
      <c r="H59" s="67"/>
      <c r="I59" s="67"/>
      <c r="J59" s="67"/>
      <c r="K59" s="67"/>
      <c r="L59" s="67"/>
      <c r="M59" s="67"/>
      <c r="N59" s="67"/>
      <c r="O59" s="67"/>
      <c r="P59" s="67"/>
      <c r="Q59" s="67"/>
      <c r="R59" s="67"/>
      <c r="S59" s="67"/>
      <c r="T59" s="67"/>
      <c r="U59" s="67"/>
      <c r="V59" s="67"/>
      <c r="W59" s="67"/>
      <c r="X59" s="67"/>
      <c r="Y59" s="67"/>
      <c r="Z59" s="67"/>
      <c r="AA59" s="67"/>
      <c r="AB59" s="75"/>
    </row>
    <row r="60" spans="1:28" x14ac:dyDescent="0.3">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2" spans="1:28" s="51" customFormat="1" x14ac:dyDescent="0.3">
      <c r="A62" s="51" t="s">
        <v>1219</v>
      </c>
      <c r="B62" s="51" t="s">
        <v>1220</v>
      </c>
      <c r="C62" s="51" t="s">
        <v>1221</v>
      </c>
      <c r="D62" s="56" t="str">
        <f t="shared" ref="D62:AB62" si="6">languages</f>
        <v>bg</v>
      </c>
      <c r="E62" s="57" t="str">
        <f t="shared" si="6"/>
        <v>cs</v>
      </c>
      <c r="F62" s="57" t="str">
        <f t="shared" si="6"/>
        <v>da</v>
      </c>
      <c r="G62" s="57" t="str">
        <f t="shared" si="6"/>
        <v>de</v>
      </c>
      <c r="H62" s="57" t="str">
        <f t="shared" si="6"/>
        <v>el</v>
      </c>
      <c r="I62" s="57" t="str">
        <f t="shared" si="6"/>
        <v>en</v>
      </c>
      <c r="J62" s="57" t="str">
        <f t="shared" si="6"/>
        <v>es</v>
      </c>
      <c r="K62" s="57" t="str">
        <f t="shared" si="6"/>
        <v>et</v>
      </c>
      <c r="L62" s="57" t="str">
        <f t="shared" si="6"/>
        <v>fi</v>
      </c>
      <c r="M62" s="57" t="str">
        <f t="shared" si="6"/>
        <v>fr</v>
      </c>
      <c r="N62" s="57" t="str">
        <f t="shared" si="6"/>
        <v>ga</v>
      </c>
      <c r="O62" s="57" t="str">
        <f t="shared" si="6"/>
        <v>hr</v>
      </c>
      <c r="P62" s="57" t="str">
        <f t="shared" si="6"/>
        <v>hu</v>
      </c>
      <c r="Q62" s="57" t="str">
        <f t="shared" si="6"/>
        <v>it</v>
      </c>
      <c r="R62" s="57" t="str">
        <f t="shared" si="6"/>
        <v>lt</v>
      </c>
      <c r="S62" s="57" t="str">
        <f t="shared" si="6"/>
        <v>lv</v>
      </c>
      <c r="T62" s="57" t="str">
        <f t="shared" si="6"/>
        <v>mt</v>
      </c>
      <c r="U62" s="57" t="str">
        <f t="shared" si="6"/>
        <v>nl</v>
      </c>
      <c r="V62" s="57" t="str">
        <f t="shared" si="6"/>
        <v>pl</v>
      </c>
      <c r="W62" s="57" t="str">
        <f t="shared" si="6"/>
        <v>pt</v>
      </c>
      <c r="X62" s="57" t="str">
        <f t="shared" si="6"/>
        <v>ro</v>
      </c>
      <c r="Y62" s="57" t="str">
        <f t="shared" si="6"/>
        <v>sk</v>
      </c>
      <c r="Z62" s="57" t="str">
        <f t="shared" si="6"/>
        <v>sl</v>
      </c>
      <c r="AA62" s="57" t="str">
        <f t="shared" si="6"/>
        <v>sv</v>
      </c>
      <c r="AB62" s="58" t="str">
        <f t="shared" si="6"/>
        <v>no</v>
      </c>
    </row>
    <row r="63" spans="1:28" x14ac:dyDescent="0.3">
      <c r="A63" s="39">
        <v>1</v>
      </c>
      <c r="B63" s="39" t="str">
        <f>IF(TRIM(HLOOKUP(language_or_default,choiceTranslations,MATCH(A63,choiceCode,0),0))="",HLOOKUP("en",choiceTranslations,MATCH(A63,choiceCode,0),0),HLOOKUP(language_or_default,choiceTranslations,MATCH(A63,choiceCode,0),0))</f>
        <v>igen</v>
      </c>
      <c r="C63" s="39" t="str">
        <f>CONCATENATE(B63," ","[",A63,"]")</f>
        <v>igen [1]</v>
      </c>
      <c r="D63" s="59" t="s">
        <v>1222</v>
      </c>
      <c r="E63" s="60" t="s">
        <v>1223</v>
      </c>
      <c r="F63" s="61" t="s">
        <v>1224</v>
      </c>
      <c r="G63" s="60" t="s">
        <v>1225</v>
      </c>
      <c r="H63" s="60" t="s">
        <v>1226</v>
      </c>
      <c r="I63" s="76" t="s">
        <v>1227</v>
      </c>
      <c r="J63" s="60" t="s">
        <v>1228</v>
      </c>
      <c r="K63" s="60" t="s">
        <v>1229</v>
      </c>
      <c r="L63" s="60" t="s">
        <v>1230</v>
      </c>
      <c r="M63" s="60" t="s">
        <v>1231</v>
      </c>
      <c r="N63" s="60"/>
      <c r="O63" s="60" t="s">
        <v>1232</v>
      </c>
      <c r="P63" s="60" t="s">
        <v>1233</v>
      </c>
      <c r="Q63" s="60" t="s">
        <v>1234</v>
      </c>
      <c r="R63" s="60" t="s">
        <v>1235</v>
      </c>
      <c r="S63" s="60" t="s">
        <v>1236</v>
      </c>
      <c r="T63" s="60" t="s">
        <v>1237</v>
      </c>
      <c r="U63" s="60" t="s">
        <v>1224</v>
      </c>
      <c r="V63" s="61" t="s">
        <v>1238</v>
      </c>
      <c r="W63" s="60" t="s">
        <v>1239</v>
      </c>
      <c r="X63" s="60" t="s">
        <v>57</v>
      </c>
      <c r="Y63" s="60" t="s">
        <v>1240</v>
      </c>
      <c r="Z63" s="60" t="s">
        <v>1232</v>
      </c>
      <c r="AA63" s="60" t="s">
        <v>1224</v>
      </c>
      <c r="AB63" s="60" t="s">
        <v>1224</v>
      </c>
    </row>
    <row r="64" spans="1:28" x14ac:dyDescent="0.3">
      <c r="A64" s="39">
        <v>0</v>
      </c>
      <c r="B64" s="39" t="str">
        <f>IF(TRIM(HLOOKUP(language_or_default,choiceTranslations,MATCH(A64,choiceCode,0),0))="",HLOOKUP("en",choiceTranslations,MATCH(A64,choiceCode,0),0),HLOOKUP(language_or_default,choiceTranslations,MATCH(A64,choiceCode,0),0))</f>
        <v>nem</v>
      </c>
      <c r="C64" s="39" t="str">
        <f>CONCATENATE(B64," ","[",A64,"]")</f>
        <v>nem [0]</v>
      </c>
      <c r="D64" s="64" t="s">
        <v>1241</v>
      </c>
      <c r="E64" s="65" t="s">
        <v>1242</v>
      </c>
      <c r="F64" s="66" t="s">
        <v>1243</v>
      </c>
      <c r="G64" s="65" t="s">
        <v>1244</v>
      </c>
      <c r="H64" s="65" t="s">
        <v>1245</v>
      </c>
      <c r="I64" s="67" t="s">
        <v>78</v>
      </c>
      <c r="J64" s="65" t="s">
        <v>78</v>
      </c>
      <c r="K64" s="65" t="s">
        <v>1246</v>
      </c>
      <c r="L64" s="65" t="s">
        <v>1247</v>
      </c>
      <c r="M64" s="65" t="s">
        <v>1248</v>
      </c>
      <c r="N64" s="65"/>
      <c r="O64" s="65" t="s">
        <v>1249</v>
      </c>
      <c r="P64" s="65" t="s">
        <v>1250</v>
      </c>
      <c r="Q64" s="65" t="s">
        <v>78</v>
      </c>
      <c r="R64" s="65" t="s">
        <v>1242</v>
      </c>
      <c r="S64" s="65" t="s">
        <v>1251</v>
      </c>
      <c r="T64" s="65" t="s">
        <v>1252</v>
      </c>
      <c r="U64" s="65" t="s">
        <v>1253</v>
      </c>
      <c r="V64" s="66" t="s">
        <v>1254</v>
      </c>
      <c r="W64" s="65" t="s">
        <v>1255</v>
      </c>
      <c r="X64" s="65" t="s">
        <v>1256</v>
      </c>
      <c r="Y64" s="65" t="s">
        <v>1254</v>
      </c>
      <c r="Z64" s="65" t="s">
        <v>1249</v>
      </c>
      <c r="AA64" s="65" t="s">
        <v>1243</v>
      </c>
      <c r="AB64" s="65" t="s">
        <v>1257</v>
      </c>
    </row>
    <row r="65" spans="1:29" x14ac:dyDescent="0.3">
      <c r="D65" s="55"/>
      <c r="E65" s="55"/>
      <c r="F65" s="55"/>
      <c r="G65" s="55"/>
      <c r="H65" s="55"/>
      <c r="I65" s="76"/>
      <c r="J65" s="55"/>
      <c r="K65" s="55"/>
      <c r="L65" s="55"/>
      <c r="M65" s="55"/>
      <c r="N65" s="55"/>
      <c r="O65" s="77"/>
      <c r="P65" s="55"/>
      <c r="Q65" s="55"/>
      <c r="R65" s="55"/>
      <c r="S65" s="55"/>
      <c r="T65" s="55"/>
      <c r="U65" s="55"/>
      <c r="V65" s="55"/>
      <c r="W65" s="55"/>
      <c r="X65" s="55"/>
      <c r="Y65" s="55"/>
      <c r="Z65" s="55"/>
      <c r="AA65" s="55"/>
      <c r="AB65" s="55"/>
    </row>
    <row r="66" spans="1:29" x14ac:dyDescent="0.3">
      <c r="A66" s="51" t="s">
        <v>1258</v>
      </c>
      <c r="B66" s="51" t="s">
        <v>1259</v>
      </c>
      <c r="C66" s="51" t="s">
        <v>1260</v>
      </c>
      <c r="D66" s="56" t="str">
        <f t="shared" ref="D66:AB66" si="7">languages</f>
        <v>bg</v>
      </c>
      <c r="E66" s="57" t="str">
        <f t="shared" si="7"/>
        <v>cs</v>
      </c>
      <c r="F66" s="57" t="str">
        <f t="shared" si="7"/>
        <v>da</v>
      </c>
      <c r="G66" s="57" t="str">
        <f t="shared" si="7"/>
        <v>de</v>
      </c>
      <c r="H66" s="57" t="str">
        <f t="shared" si="7"/>
        <v>el</v>
      </c>
      <c r="I66" s="57" t="str">
        <f t="shared" si="7"/>
        <v>en</v>
      </c>
      <c r="J66" s="57" t="str">
        <f t="shared" si="7"/>
        <v>es</v>
      </c>
      <c r="K66" s="57" t="str">
        <f t="shared" si="7"/>
        <v>et</v>
      </c>
      <c r="L66" s="57" t="str">
        <f t="shared" si="7"/>
        <v>fi</v>
      </c>
      <c r="M66" s="57" t="str">
        <f t="shared" si="7"/>
        <v>fr</v>
      </c>
      <c r="N66" s="57" t="str">
        <f t="shared" si="7"/>
        <v>ga</v>
      </c>
      <c r="O66" s="57" t="str">
        <f t="shared" si="7"/>
        <v>hr</v>
      </c>
      <c r="P66" s="57" t="str">
        <f t="shared" si="7"/>
        <v>hu</v>
      </c>
      <c r="Q66" s="57" t="str">
        <f t="shared" si="7"/>
        <v>it</v>
      </c>
      <c r="R66" s="57" t="str">
        <f t="shared" si="7"/>
        <v>lt</v>
      </c>
      <c r="S66" s="57" t="str">
        <f t="shared" si="7"/>
        <v>lv</v>
      </c>
      <c r="T66" s="57" t="str">
        <f t="shared" si="7"/>
        <v>mt</v>
      </c>
      <c r="U66" s="57" t="str">
        <f t="shared" si="7"/>
        <v>nl</v>
      </c>
      <c r="V66" s="57" t="str">
        <f t="shared" si="7"/>
        <v>pl</v>
      </c>
      <c r="W66" s="57" t="str">
        <f t="shared" si="7"/>
        <v>pt</v>
      </c>
      <c r="X66" s="57" t="str">
        <f t="shared" si="7"/>
        <v>ro</v>
      </c>
      <c r="Y66" s="57" t="str">
        <f t="shared" si="7"/>
        <v>sk</v>
      </c>
      <c r="Z66" s="57" t="str">
        <f t="shared" si="7"/>
        <v>sl</v>
      </c>
      <c r="AA66" s="57" t="str">
        <f t="shared" si="7"/>
        <v>sv</v>
      </c>
      <c r="AB66" s="58" t="str">
        <f t="shared" si="7"/>
        <v>no</v>
      </c>
      <c r="AC66" s="51" t="s">
        <v>1261</v>
      </c>
    </row>
    <row r="67" spans="1:29" x14ac:dyDescent="0.3">
      <c r="A67" s="39" t="s">
        <v>1262</v>
      </c>
      <c r="B67" s="50" t="str">
        <f t="shared" ref="B67:B108" si="8">IF(TRIM(HLOOKUP(language_or_default,speciesTranslations,MATCH(A67,speciesCode,0),0))="",HLOOKUP("en",speciesTranslations,MATCH(A67,speciesCode,0),0),HLOOKUP(language_or_default,speciesTranslations,MATCH(A67,speciesCode,0),0))</f>
        <v>Egér</v>
      </c>
      <c r="C67" s="50" t="str">
        <f t="shared" ref="C67:C107" si="9">CONCATENATE(B67," (",AC67,") ","[",A67,"]")</f>
        <v>Egér (Mus musculus) [A1]</v>
      </c>
      <c r="D67" s="59" t="s">
        <v>1263</v>
      </c>
      <c r="E67" s="60" t="s">
        <v>1264</v>
      </c>
      <c r="F67" s="61" t="s">
        <v>1265</v>
      </c>
      <c r="G67" s="60" t="s">
        <v>1266</v>
      </c>
      <c r="H67" s="60" t="s">
        <v>1267</v>
      </c>
      <c r="I67" s="76" t="s">
        <v>1268</v>
      </c>
      <c r="J67" s="60" t="s">
        <v>1269</v>
      </c>
      <c r="K67" s="60" t="s">
        <v>1270</v>
      </c>
      <c r="L67" s="60" t="s">
        <v>1271</v>
      </c>
      <c r="M67" s="60" t="s">
        <v>1272</v>
      </c>
      <c r="N67" s="60"/>
      <c r="O67" s="60" t="s">
        <v>1273</v>
      </c>
      <c r="P67" s="60" t="s">
        <v>1274</v>
      </c>
      <c r="Q67" s="60" t="s">
        <v>1275</v>
      </c>
      <c r="R67" s="60" t="s">
        <v>1276</v>
      </c>
      <c r="S67" s="60" t="s">
        <v>1277</v>
      </c>
      <c r="T67" s="60" t="s">
        <v>1278</v>
      </c>
      <c r="U67" s="60" t="s">
        <v>1279</v>
      </c>
      <c r="V67" s="61" t="s">
        <v>1280</v>
      </c>
      <c r="W67" s="60" t="s">
        <v>1281</v>
      </c>
      <c r="X67" s="60" t="s">
        <v>1282</v>
      </c>
      <c r="Y67" s="60" t="s">
        <v>1283</v>
      </c>
      <c r="Z67" s="60" t="s">
        <v>1284</v>
      </c>
      <c r="AA67" s="60" t="s">
        <v>1285</v>
      </c>
      <c r="AB67" s="62" t="s">
        <v>1265</v>
      </c>
      <c r="AC67" s="50" t="s">
        <v>1286</v>
      </c>
    </row>
    <row r="68" spans="1:29" x14ac:dyDescent="0.3">
      <c r="A68" s="39" t="s">
        <v>1287</v>
      </c>
      <c r="B68" s="50" t="str">
        <f t="shared" si="8"/>
        <v>Patkány</v>
      </c>
      <c r="C68" s="50" t="str">
        <f t="shared" si="9"/>
        <v>Patkány (Rattus norvegicus) [A2]</v>
      </c>
      <c r="D68" s="59" t="s">
        <v>1288</v>
      </c>
      <c r="E68" s="60" t="s">
        <v>1289</v>
      </c>
      <c r="F68" s="61" t="s">
        <v>1290</v>
      </c>
      <c r="G68" s="60" t="s">
        <v>1291</v>
      </c>
      <c r="H68" s="60" t="s">
        <v>1292</v>
      </c>
      <c r="I68" s="76" t="s">
        <v>1293</v>
      </c>
      <c r="J68" s="60" t="s">
        <v>1294</v>
      </c>
      <c r="K68" s="60" t="s">
        <v>1295</v>
      </c>
      <c r="L68" s="60" t="s">
        <v>1296</v>
      </c>
      <c r="M68" s="60" t="s">
        <v>1293</v>
      </c>
      <c r="N68" s="60"/>
      <c r="O68" s="60" t="s">
        <v>1297</v>
      </c>
      <c r="P68" s="60" t="s">
        <v>1298</v>
      </c>
      <c r="Q68" s="60" t="s">
        <v>1299</v>
      </c>
      <c r="R68" s="60" t="s">
        <v>1300</v>
      </c>
      <c r="S68" s="60" t="s">
        <v>1301</v>
      </c>
      <c r="T68" s="60" t="s">
        <v>1302</v>
      </c>
      <c r="U68" s="60" t="s">
        <v>1291</v>
      </c>
      <c r="V68" s="61" t="s">
        <v>1303</v>
      </c>
      <c r="W68" s="60" t="s">
        <v>1304</v>
      </c>
      <c r="X68" s="60" t="s">
        <v>1305</v>
      </c>
      <c r="Y68" s="60" t="s">
        <v>1306</v>
      </c>
      <c r="Z68" s="60" t="s">
        <v>1307</v>
      </c>
      <c r="AA68" s="60" t="s">
        <v>1308</v>
      </c>
      <c r="AB68" s="62" t="s">
        <v>1290</v>
      </c>
      <c r="AC68" s="39" t="s">
        <v>1309</v>
      </c>
    </row>
    <row r="69" spans="1:29" x14ac:dyDescent="0.3">
      <c r="A69" s="39" t="s">
        <v>1310</v>
      </c>
      <c r="B69" s="50" t="str">
        <f t="shared" si="8"/>
        <v>Tengerimalac</v>
      </c>
      <c r="C69" s="50" t="str">
        <f t="shared" si="9"/>
        <v>Tengerimalac (Cavia porcellus) [A3]</v>
      </c>
      <c r="D69" s="59" t="s">
        <v>1311</v>
      </c>
      <c r="E69" s="60" t="s">
        <v>1312</v>
      </c>
      <c r="F69" s="61" t="s">
        <v>1313</v>
      </c>
      <c r="G69" s="60" t="s">
        <v>1314</v>
      </c>
      <c r="H69" s="60" t="s">
        <v>1315</v>
      </c>
      <c r="I69" s="76" t="s">
        <v>1316</v>
      </c>
      <c r="J69" s="60" t="s">
        <v>1317</v>
      </c>
      <c r="K69" s="60" t="s">
        <v>1318</v>
      </c>
      <c r="L69" s="60" t="s">
        <v>1319</v>
      </c>
      <c r="M69" s="60" t="s">
        <v>1320</v>
      </c>
      <c r="N69" s="60"/>
      <c r="O69" s="60" t="s">
        <v>1321</v>
      </c>
      <c r="P69" s="60" t="s">
        <v>1322</v>
      </c>
      <c r="Q69" s="60" t="s">
        <v>1323</v>
      </c>
      <c r="R69" s="60" t="s">
        <v>1324</v>
      </c>
      <c r="S69" s="60" t="s">
        <v>1325</v>
      </c>
      <c r="T69" s="60" t="s">
        <v>1326</v>
      </c>
      <c r="U69" s="60" t="s">
        <v>1327</v>
      </c>
      <c r="V69" s="61" t="s">
        <v>1328</v>
      </c>
      <c r="W69" s="60" t="s">
        <v>1329</v>
      </c>
      <c r="X69" s="60" t="s">
        <v>1330</v>
      </c>
      <c r="Y69" s="60" t="s">
        <v>1331</v>
      </c>
      <c r="Z69" s="60" t="s">
        <v>1332</v>
      </c>
      <c r="AA69" s="60" t="s">
        <v>1313</v>
      </c>
      <c r="AB69" s="62" t="s">
        <v>1313</v>
      </c>
      <c r="AC69" s="39" t="s">
        <v>1333</v>
      </c>
    </row>
    <row r="70" spans="1:29" x14ac:dyDescent="0.3">
      <c r="A70" s="39" t="s">
        <v>1334</v>
      </c>
      <c r="B70" s="50" t="str">
        <f t="shared" si="8"/>
        <v>Szíriai aranyhörcsög</v>
      </c>
      <c r="C70" s="50" t="str">
        <f t="shared" si="9"/>
        <v>Szíriai aranyhörcsög (Mesocricetus auratus) [A4]</v>
      </c>
      <c r="D70" s="59" t="s">
        <v>1335</v>
      </c>
      <c r="E70" s="60" t="s">
        <v>1336</v>
      </c>
      <c r="F70" s="61" t="s">
        <v>1337</v>
      </c>
      <c r="G70" s="60" t="s">
        <v>1338</v>
      </c>
      <c r="H70" s="60" t="s">
        <v>1339</v>
      </c>
      <c r="I70" s="76" t="s">
        <v>1340</v>
      </c>
      <c r="J70" s="60" t="s">
        <v>1341</v>
      </c>
      <c r="K70" s="60" t="s">
        <v>1342</v>
      </c>
      <c r="L70" s="60" t="s">
        <v>1343</v>
      </c>
      <c r="M70" s="60" t="s">
        <v>1344</v>
      </c>
      <c r="N70" s="60"/>
      <c r="O70" s="60" t="s">
        <v>1345</v>
      </c>
      <c r="P70" s="60" t="s">
        <v>1346</v>
      </c>
      <c r="Q70" s="60" t="s">
        <v>1347</v>
      </c>
      <c r="R70" s="60" t="s">
        <v>1348</v>
      </c>
      <c r="S70" s="60" t="s">
        <v>1349</v>
      </c>
      <c r="T70" s="60" t="s">
        <v>1350</v>
      </c>
      <c r="U70" s="60" t="s">
        <v>1351</v>
      </c>
      <c r="V70" s="61" t="s">
        <v>1352</v>
      </c>
      <c r="W70" s="60" t="s">
        <v>1353</v>
      </c>
      <c r="X70" s="60" t="s">
        <v>1354</v>
      </c>
      <c r="Y70" s="60" t="s">
        <v>1355</v>
      </c>
      <c r="Z70" s="60" t="s">
        <v>1356</v>
      </c>
      <c r="AA70" s="60" t="s">
        <v>1357</v>
      </c>
      <c r="AB70" s="62" t="s">
        <v>1358</v>
      </c>
      <c r="AC70" s="39" t="s">
        <v>1359</v>
      </c>
    </row>
    <row r="71" spans="1:29" x14ac:dyDescent="0.3">
      <c r="A71" s="39" t="s">
        <v>1360</v>
      </c>
      <c r="B71" s="50" t="str">
        <f t="shared" si="8"/>
        <v>Kínai törpehörcsög</v>
      </c>
      <c r="C71" s="50" t="str">
        <f t="shared" si="9"/>
        <v>Kínai törpehörcsög (Cricetulus griseus) [A5]</v>
      </c>
      <c r="D71" s="59" t="s">
        <v>1361</v>
      </c>
      <c r="E71" s="60" t="s">
        <v>1362</v>
      </c>
      <c r="F71" s="61" t="s">
        <v>1363</v>
      </c>
      <c r="G71" s="60" t="s">
        <v>1364</v>
      </c>
      <c r="H71" s="60" t="s">
        <v>1365</v>
      </c>
      <c r="I71" s="76" t="s">
        <v>1366</v>
      </c>
      <c r="J71" s="60" t="s">
        <v>1367</v>
      </c>
      <c r="K71" s="60" t="s">
        <v>1368</v>
      </c>
      <c r="L71" s="60" t="s">
        <v>1369</v>
      </c>
      <c r="M71" s="60" t="s">
        <v>1370</v>
      </c>
      <c r="N71" s="60"/>
      <c r="O71" s="60" t="s">
        <v>1371</v>
      </c>
      <c r="P71" s="60" t="s">
        <v>1372</v>
      </c>
      <c r="Q71" s="60" t="s">
        <v>1373</v>
      </c>
      <c r="R71" s="60" t="s">
        <v>1374</v>
      </c>
      <c r="S71" s="60" t="s">
        <v>1375</v>
      </c>
      <c r="T71" s="60" t="s">
        <v>1376</v>
      </c>
      <c r="U71" s="60" t="s">
        <v>1377</v>
      </c>
      <c r="V71" s="61" t="s">
        <v>1378</v>
      </c>
      <c r="W71" s="60" t="s">
        <v>1379</v>
      </c>
      <c r="X71" s="60" t="s">
        <v>1380</v>
      </c>
      <c r="Y71" s="60" t="s">
        <v>1381</v>
      </c>
      <c r="Z71" s="60" t="s">
        <v>1382</v>
      </c>
      <c r="AA71" s="60" t="s">
        <v>1383</v>
      </c>
      <c r="AB71" s="62" t="s">
        <v>1363</v>
      </c>
      <c r="AC71" s="39" t="s">
        <v>1384</v>
      </c>
    </row>
    <row r="72" spans="1:29" x14ac:dyDescent="0.3">
      <c r="A72" s="39" t="s">
        <v>1385</v>
      </c>
      <c r="B72" s="50" t="str">
        <f t="shared" si="8"/>
        <v>Mongol futóegér</v>
      </c>
      <c r="C72" s="50" t="str">
        <f t="shared" si="9"/>
        <v>Mongol futóegér (Meriones unguiculatus) [A6]</v>
      </c>
      <c r="D72" s="59" t="s">
        <v>1386</v>
      </c>
      <c r="E72" s="60" t="s">
        <v>1387</v>
      </c>
      <c r="F72" s="61" t="s">
        <v>1388</v>
      </c>
      <c r="G72" s="60" t="s">
        <v>1389</v>
      </c>
      <c r="H72" s="60" t="s">
        <v>1390</v>
      </c>
      <c r="I72" s="76" t="s">
        <v>1391</v>
      </c>
      <c r="J72" s="60" t="s">
        <v>1392</v>
      </c>
      <c r="K72" s="60" t="s">
        <v>1393</v>
      </c>
      <c r="L72" s="60" t="s">
        <v>1394</v>
      </c>
      <c r="M72" s="60" t="s">
        <v>1395</v>
      </c>
      <c r="N72" s="60"/>
      <c r="O72" s="60" t="s">
        <v>1396</v>
      </c>
      <c r="P72" s="60" t="s">
        <v>1397</v>
      </c>
      <c r="Q72" s="60" t="s">
        <v>1398</v>
      </c>
      <c r="R72" s="60" t="s">
        <v>1399</v>
      </c>
      <c r="S72" s="60" t="s">
        <v>1400</v>
      </c>
      <c r="T72" s="60" t="s">
        <v>1401</v>
      </c>
      <c r="U72" s="60" t="s">
        <v>1402</v>
      </c>
      <c r="V72" s="61" t="s">
        <v>1403</v>
      </c>
      <c r="W72" s="60" t="s">
        <v>1404</v>
      </c>
      <c r="X72" s="60" t="s">
        <v>1405</v>
      </c>
      <c r="Y72" s="60" t="s">
        <v>1406</v>
      </c>
      <c r="Z72" s="60" t="s">
        <v>1407</v>
      </c>
      <c r="AA72" s="60" t="s">
        <v>1408</v>
      </c>
      <c r="AB72" s="62" t="s">
        <v>1388</v>
      </c>
      <c r="AC72" s="39" t="s">
        <v>1409</v>
      </c>
    </row>
    <row r="73" spans="1:29" x14ac:dyDescent="0.3">
      <c r="A73" s="39" t="s">
        <v>1410</v>
      </c>
      <c r="B73" s="50" t="str">
        <f t="shared" si="8"/>
        <v>Egyéb rágcsálók</v>
      </c>
      <c r="C73" s="50" t="str">
        <f t="shared" si="9"/>
        <v>Egyéb rágcsálók (other Rodentia) [A7]</v>
      </c>
      <c r="D73" s="59" t="s">
        <v>1411</v>
      </c>
      <c r="E73" s="60" t="s">
        <v>1412</v>
      </c>
      <c r="F73" s="61" t="s">
        <v>1413</v>
      </c>
      <c r="G73" s="60" t="s">
        <v>1414</v>
      </c>
      <c r="H73" s="60" t="s">
        <v>1415</v>
      </c>
      <c r="I73" s="76" t="s">
        <v>1416</v>
      </c>
      <c r="J73" s="60" t="s">
        <v>1417</v>
      </c>
      <c r="K73" s="60" t="s">
        <v>1418</v>
      </c>
      <c r="L73" s="60" t="s">
        <v>1419</v>
      </c>
      <c r="M73" s="60" t="s">
        <v>1420</v>
      </c>
      <c r="N73" s="60"/>
      <c r="O73" s="60" t="s">
        <v>1421</v>
      </c>
      <c r="P73" s="60" t="s">
        <v>1422</v>
      </c>
      <c r="Q73" s="60" t="s">
        <v>1423</v>
      </c>
      <c r="R73" s="60" t="s">
        <v>1424</v>
      </c>
      <c r="S73" s="60" t="s">
        <v>1425</v>
      </c>
      <c r="T73" s="60" t="s">
        <v>1426</v>
      </c>
      <c r="U73" s="60" t="s">
        <v>1427</v>
      </c>
      <c r="V73" s="61" t="s">
        <v>1428</v>
      </c>
      <c r="W73" s="60" t="s">
        <v>1429</v>
      </c>
      <c r="X73" s="60" t="s">
        <v>1430</v>
      </c>
      <c r="Y73" s="60" t="s">
        <v>1431</v>
      </c>
      <c r="Z73" s="60" t="s">
        <v>1421</v>
      </c>
      <c r="AA73" s="60" t="s">
        <v>1432</v>
      </c>
      <c r="AB73" s="62" t="s">
        <v>1433</v>
      </c>
      <c r="AC73" s="39" t="s">
        <v>1434</v>
      </c>
    </row>
    <row r="74" spans="1:29" x14ac:dyDescent="0.3">
      <c r="A74" s="39" t="s">
        <v>1435</v>
      </c>
      <c r="B74" s="50" t="str">
        <f t="shared" si="8"/>
        <v>Nyúl</v>
      </c>
      <c r="C74" s="50" t="str">
        <f t="shared" si="9"/>
        <v>Nyúl (Oryctolagus cuniculus) [A8]</v>
      </c>
      <c r="D74" s="59" t="s">
        <v>1436</v>
      </c>
      <c r="E74" s="60" t="s">
        <v>1437</v>
      </c>
      <c r="F74" s="61" t="s">
        <v>1438</v>
      </c>
      <c r="G74" s="60" t="s">
        <v>1439</v>
      </c>
      <c r="H74" s="60" t="s">
        <v>1440</v>
      </c>
      <c r="I74" s="76" t="s">
        <v>1441</v>
      </c>
      <c r="J74" s="60" t="s">
        <v>1442</v>
      </c>
      <c r="K74" s="60" t="s">
        <v>1443</v>
      </c>
      <c r="L74" s="60" t="s">
        <v>1444</v>
      </c>
      <c r="M74" s="60" t="s">
        <v>1445</v>
      </c>
      <c r="N74" s="60"/>
      <c r="O74" s="60" t="s">
        <v>1446</v>
      </c>
      <c r="P74" s="60" t="s">
        <v>1447</v>
      </c>
      <c r="Q74" s="60" t="s">
        <v>1448</v>
      </c>
      <c r="R74" s="60" t="s">
        <v>1449</v>
      </c>
      <c r="S74" s="60" t="s">
        <v>1450</v>
      </c>
      <c r="T74" s="60" t="s">
        <v>1451</v>
      </c>
      <c r="U74" s="60" t="s">
        <v>1452</v>
      </c>
      <c r="V74" s="61" t="s">
        <v>1453</v>
      </c>
      <c r="W74" s="60" t="s">
        <v>1454</v>
      </c>
      <c r="X74" s="60" t="s">
        <v>1455</v>
      </c>
      <c r="Y74" s="60" t="s">
        <v>1456</v>
      </c>
      <c r="Z74" s="60" t="s">
        <v>1457</v>
      </c>
      <c r="AA74" s="60" t="s">
        <v>1438</v>
      </c>
      <c r="AB74" s="62" t="s">
        <v>1438</v>
      </c>
      <c r="AC74" s="39" t="s">
        <v>1458</v>
      </c>
    </row>
    <row r="75" spans="1:29" x14ac:dyDescent="0.3">
      <c r="A75" s="39" t="s">
        <v>1459</v>
      </c>
      <c r="B75" s="50" t="str">
        <f t="shared" si="8"/>
        <v>Macska</v>
      </c>
      <c r="C75" s="50" t="str">
        <f t="shared" si="9"/>
        <v>Macska (Felis catus) [A9]</v>
      </c>
      <c r="D75" s="59" t="s">
        <v>1460</v>
      </c>
      <c r="E75" s="60" t="s">
        <v>1461</v>
      </c>
      <c r="F75" s="61" t="s">
        <v>1462</v>
      </c>
      <c r="G75" s="60" t="s">
        <v>1463</v>
      </c>
      <c r="H75" s="60" t="s">
        <v>1464</v>
      </c>
      <c r="I75" s="76" t="s">
        <v>1465</v>
      </c>
      <c r="J75" s="60" t="s">
        <v>1466</v>
      </c>
      <c r="K75" s="60" t="s">
        <v>1467</v>
      </c>
      <c r="L75" s="60" t="s">
        <v>1468</v>
      </c>
      <c r="M75" s="60" t="s">
        <v>1469</v>
      </c>
      <c r="N75" s="60"/>
      <c r="O75" s="60" t="s">
        <v>1470</v>
      </c>
      <c r="P75" s="60" t="s">
        <v>1471</v>
      </c>
      <c r="Q75" s="60" t="s">
        <v>1472</v>
      </c>
      <c r="R75" s="60" t="s">
        <v>1473</v>
      </c>
      <c r="S75" s="60" t="s">
        <v>1474</v>
      </c>
      <c r="T75" s="60" t="s">
        <v>1475</v>
      </c>
      <c r="U75" s="60" t="s">
        <v>1476</v>
      </c>
      <c r="V75" s="61" t="s">
        <v>1477</v>
      </c>
      <c r="W75" s="60" t="s">
        <v>1478</v>
      </c>
      <c r="X75" s="60" t="s">
        <v>1479</v>
      </c>
      <c r="Y75" s="60" t="s">
        <v>1480</v>
      </c>
      <c r="Z75" s="60" t="s">
        <v>1470</v>
      </c>
      <c r="AA75" s="60" t="s">
        <v>1481</v>
      </c>
      <c r="AB75" s="62" t="s">
        <v>1481</v>
      </c>
      <c r="AC75" s="39" t="s">
        <v>1482</v>
      </c>
    </row>
    <row r="76" spans="1:29" x14ac:dyDescent="0.3">
      <c r="A76" s="39" t="s">
        <v>1483</v>
      </c>
      <c r="B76" s="50" t="str">
        <f t="shared" si="8"/>
        <v>Kutya</v>
      </c>
      <c r="C76" s="50" t="str">
        <f t="shared" si="9"/>
        <v>Kutya (Canis familiaris) [A10]</v>
      </c>
      <c r="D76" s="59" t="s">
        <v>1484</v>
      </c>
      <c r="E76" s="60" t="s">
        <v>1485</v>
      </c>
      <c r="F76" s="61" t="s">
        <v>1486</v>
      </c>
      <c r="G76" s="60" t="s">
        <v>1487</v>
      </c>
      <c r="H76" s="60" t="s">
        <v>1488</v>
      </c>
      <c r="I76" s="76" t="s">
        <v>1489</v>
      </c>
      <c r="J76" s="60" t="s">
        <v>1490</v>
      </c>
      <c r="K76" s="60" t="s">
        <v>1491</v>
      </c>
      <c r="L76" s="60" t="s">
        <v>1492</v>
      </c>
      <c r="M76" s="60" t="s">
        <v>1493</v>
      </c>
      <c r="N76" s="60"/>
      <c r="O76" s="60" t="s">
        <v>1494</v>
      </c>
      <c r="P76" s="60" t="s">
        <v>1495</v>
      </c>
      <c r="Q76" s="60" t="s">
        <v>1496</v>
      </c>
      <c r="R76" s="60" t="s">
        <v>1497</v>
      </c>
      <c r="S76" s="60" t="s">
        <v>1498</v>
      </c>
      <c r="T76" s="60" t="s">
        <v>1499</v>
      </c>
      <c r="U76" s="60" t="s">
        <v>1500</v>
      </c>
      <c r="V76" s="61" t="s">
        <v>1501</v>
      </c>
      <c r="W76" s="60" t="s">
        <v>1502</v>
      </c>
      <c r="X76" s="60" t="s">
        <v>1503</v>
      </c>
      <c r="Y76" s="60" t="s">
        <v>1501</v>
      </c>
      <c r="Z76" s="60" t="s">
        <v>1494</v>
      </c>
      <c r="AA76" s="60" t="s">
        <v>1486</v>
      </c>
      <c r="AB76" s="62" t="s">
        <v>1486</v>
      </c>
      <c r="AC76" s="39" t="s">
        <v>1504</v>
      </c>
    </row>
    <row r="77" spans="1:29" x14ac:dyDescent="0.3">
      <c r="A77" s="39" t="s">
        <v>1505</v>
      </c>
      <c r="B77" s="50" t="str">
        <f t="shared" si="8"/>
        <v>Vadászgörény</v>
      </c>
      <c r="C77" s="50" t="str">
        <f t="shared" si="9"/>
        <v>Vadászgörény (Mustela putorius furo) [A11]</v>
      </c>
      <c r="D77" s="59" t="s">
        <v>1506</v>
      </c>
      <c r="E77" s="60" t="s">
        <v>1507</v>
      </c>
      <c r="F77" s="61" t="s">
        <v>1508</v>
      </c>
      <c r="G77" s="60" t="s">
        <v>1509</v>
      </c>
      <c r="H77" s="60" t="s">
        <v>1510</v>
      </c>
      <c r="I77" s="76" t="s">
        <v>1511</v>
      </c>
      <c r="J77" s="60" t="s">
        <v>1512</v>
      </c>
      <c r="K77" s="60" t="s">
        <v>1513</v>
      </c>
      <c r="L77" s="60" t="s">
        <v>1514</v>
      </c>
      <c r="M77" s="60" t="s">
        <v>1515</v>
      </c>
      <c r="N77" s="60"/>
      <c r="O77" s="60" t="s">
        <v>1516</v>
      </c>
      <c r="P77" s="60" t="s">
        <v>1517</v>
      </c>
      <c r="Q77" s="60" t="s">
        <v>1518</v>
      </c>
      <c r="R77" s="60" t="s">
        <v>1519</v>
      </c>
      <c r="S77" s="60" t="s">
        <v>1520</v>
      </c>
      <c r="T77" s="60" t="s">
        <v>1521</v>
      </c>
      <c r="U77" s="60" t="s">
        <v>1522</v>
      </c>
      <c r="V77" s="61" t="s">
        <v>1523</v>
      </c>
      <c r="W77" s="60" t="s">
        <v>1524</v>
      </c>
      <c r="X77" s="60" t="s">
        <v>1525</v>
      </c>
      <c r="Y77" s="60" t="s">
        <v>1526</v>
      </c>
      <c r="Z77" s="60" t="s">
        <v>1527</v>
      </c>
      <c r="AA77" s="60" t="s">
        <v>1528</v>
      </c>
      <c r="AB77" s="62" t="s">
        <v>1529</v>
      </c>
      <c r="AC77" s="39" t="s">
        <v>1530</v>
      </c>
    </row>
    <row r="78" spans="1:29" x14ac:dyDescent="0.3">
      <c r="A78" s="39" t="s">
        <v>1531</v>
      </c>
      <c r="B78" s="50" t="str">
        <f t="shared" si="8"/>
        <v>Egyéb ragadozók</v>
      </c>
      <c r="C78" s="50" t="str">
        <f t="shared" si="9"/>
        <v>Egyéb ragadozók (other Carnivora) [A12]</v>
      </c>
      <c r="D78" s="59" t="s">
        <v>1532</v>
      </c>
      <c r="E78" s="60" t="s">
        <v>1533</v>
      </c>
      <c r="F78" s="61" t="s">
        <v>1534</v>
      </c>
      <c r="G78" s="60" t="s">
        <v>1535</v>
      </c>
      <c r="H78" s="60" t="s">
        <v>1536</v>
      </c>
      <c r="I78" s="76" t="s">
        <v>1537</v>
      </c>
      <c r="J78" s="60" t="s">
        <v>1538</v>
      </c>
      <c r="K78" s="60" t="s">
        <v>1539</v>
      </c>
      <c r="L78" s="60" t="s">
        <v>1540</v>
      </c>
      <c r="M78" s="60" t="s">
        <v>1541</v>
      </c>
      <c r="N78" s="60"/>
      <c r="O78" s="60" t="s">
        <v>1542</v>
      </c>
      <c r="P78" s="60" t="s">
        <v>1543</v>
      </c>
      <c r="Q78" s="60" t="s">
        <v>1544</v>
      </c>
      <c r="R78" s="60" t="s">
        <v>1545</v>
      </c>
      <c r="S78" s="60" t="s">
        <v>1546</v>
      </c>
      <c r="T78" s="60" t="s">
        <v>1547</v>
      </c>
      <c r="U78" s="60" t="s">
        <v>1548</v>
      </c>
      <c r="V78" s="61" t="s">
        <v>1549</v>
      </c>
      <c r="W78" s="60" t="s">
        <v>1550</v>
      </c>
      <c r="X78" s="60" t="s">
        <v>1551</v>
      </c>
      <c r="Y78" s="60" t="s">
        <v>1552</v>
      </c>
      <c r="Z78" s="60" t="s">
        <v>1553</v>
      </c>
      <c r="AA78" s="60" t="s">
        <v>1554</v>
      </c>
      <c r="AB78" s="62" t="s">
        <v>1555</v>
      </c>
      <c r="AC78" s="39" t="s">
        <v>1556</v>
      </c>
    </row>
    <row r="79" spans="1:29" x14ac:dyDescent="0.3">
      <c r="A79" s="39" t="s">
        <v>1557</v>
      </c>
      <c r="B79" s="50" t="str">
        <f t="shared" si="8"/>
        <v>Ló, szamár, öszvér</v>
      </c>
      <c r="C79" s="50" t="str">
        <f t="shared" si="9"/>
        <v>Ló, szamár, öszvér (Equidae) [A13]</v>
      </c>
      <c r="D79" s="59" t="s">
        <v>1558</v>
      </c>
      <c r="E79" s="60" t="s">
        <v>1559</v>
      </c>
      <c r="F79" s="61" t="s">
        <v>1560</v>
      </c>
      <c r="G79" s="60" t="s">
        <v>1561</v>
      </c>
      <c r="H79" s="60" t="s">
        <v>1562</v>
      </c>
      <c r="I79" s="76" t="s">
        <v>1563</v>
      </c>
      <c r="J79" s="60" t="s">
        <v>1564</v>
      </c>
      <c r="K79" s="60" t="s">
        <v>1565</v>
      </c>
      <c r="L79" s="60" t="s">
        <v>1566</v>
      </c>
      <c r="M79" s="60" t="s">
        <v>1567</v>
      </c>
      <c r="N79" s="60"/>
      <c r="O79" s="60" t="s">
        <v>1568</v>
      </c>
      <c r="P79" s="60" t="s">
        <v>1569</v>
      </c>
      <c r="Q79" s="60" t="s">
        <v>1570</v>
      </c>
      <c r="R79" s="60" t="s">
        <v>1571</v>
      </c>
      <c r="S79" s="60" t="s">
        <v>1572</v>
      </c>
      <c r="T79" s="60" t="s">
        <v>1573</v>
      </c>
      <c r="U79" s="60" t="s">
        <v>1574</v>
      </c>
      <c r="V79" s="61" t="s">
        <v>1575</v>
      </c>
      <c r="W79" s="60" t="s">
        <v>1576</v>
      </c>
      <c r="X79" s="60" t="s">
        <v>1577</v>
      </c>
      <c r="Y79" s="60" t="s">
        <v>1578</v>
      </c>
      <c r="Z79" s="60" t="s">
        <v>1579</v>
      </c>
      <c r="AA79" s="60" t="s">
        <v>1580</v>
      </c>
      <c r="AB79" s="62" t="s">
        <v>1581</v>
      </c>
      <c r="AC79" s="39" t="s">
        <v>1582</v>
      </c>
    </row>
    <row r="80" spans="1:29" x14ac:dyDescent="0.3">
      <c r="A80" s="39" t="s">
        <v>1583</v>
      </c>
      <c r="B80" s="50" t="str">
        <f t="shared" si="8"/>
        <v>Sertés</v>
      </c>
      <c r="C80" s="50" t="str">
        <f t="shared" si="9"/>
        <v>Sertés (Sus scrofa domesticus) [A14]</v>
      </c>
      <c r="D80" s="59" t="s">
        <v>1584</v>
      </c>
      <c r="E80" s="60" t="s">
        <v>1585</v>
      </c>
      <c r="F80" s="61" t="s">
        <v>1586</v>
      </c>
      <c r="G80" s="60" t="s">
        <v>1587</v>
      </c>
      <c r="H80" s="60" t="s">
        <v>1588</v>
      </c>
      <c r="I80" s="76" t="s">
        <v>1589</v>
      </c>
      <c r="J80" s="60" t="s">
        <v>1590</v>
      </c>
      <c r="K80" s="60" t="s">
        <v>1591</v>
      </c>
      <c r="L80" s="60" t="s">
        <v>1592</v>
      </c>
      <c r="M80" s="60" t="s">
        <v>1593</v>
      </c>
      <c r="N80" s="60"/>
      <c r="O80" s="60" t="s">
        <v>1594</v>
      </c>
      <c r="P80" s="60" t="s">
        <v>1595</v>
      </c>
      <c r="Q80" s="60" t="s">
        <v>1596</v>
      </c>
      <c r="R80" s="60" t="s">
        <v>1597</v>
      </c>
      <c r="S80" s="60" t="s">
        <v>1598</v>
      </c>
      <c r="T80" s="60" t="s">
        <v>1599</v>
      </c>
      <c r="U80" s="60" t="s">
        <v>1600</v>
      </c>
      <c r="V80" s="61" t="s">
        <v>1601</v>
      </c>
      <c r="W80" s="60" t="s">
        <v>1602</v>
      </c>
      <c r="X80" s="60" t="s">
        <v>1603</v>
      </c>
      <c r="Y80" s="60" t="s">
        <v>1604</v>
      </c>
      <c r="Z80" s="60" t="s">
        <v>1605</v>
      </c>
      <c r="AA80" s="60" t="s">
        <v>1606</v>
      </c>
      <c r="AB80" s="62" t="s">
        <v>1606</v>
      </c>
      <c r="AC80" s="39" t="s">
        <v>1607</v>
      </c>
    </row>
    <row r="81" spans="1:29" x14ac:dyDescent="0.3">
      <c r="A81" s="39" t="s">
        <v>1608</v>
      </c>
      <c r="B81" s="50" t="str">
        <f t="shared" si="8"/>
        <v>Kecske</v>
      </c>
      <c r="C81" s="50" t="str">
        <f t="shared" si="9"/>
        <v>Kecske (Capra aegagrus hircus) [A15]</v>
      </c>
      <c r="D81" s="59" t="s">
        <v>1609</v>
      </c>
      <c r="E81" s="60" t="s">
        <v>1610</v>
      </c>
      <c r="F81" s="61" t="s">
        <v>1611</v>
      </c>
      <c r="G81" s="60" t="s">
        <v>1612</v>
      </c>
      <c r="H81" s="60" t="s">
        <v>1613</v>
      </c>
      <c r="I81" s="76" t="s">
        <v>1614</v>
      </c>
      <c r="J81" s="60" t="s">
        <v>1615</v>
      </c>
      <c r="K81" s="60" t="s">
        <v>1616</v>
      </c>
      <c r="L81" s="60" t="s">
        <v>1617</v>
      </c>
      <c r="M81" s="60" t="s">
        <v>1618</v>
      </c>
      <c r="N81" s="60"/>
      <c r="O81" s="60" t="s">
        <v>1619</v>
      </c>
      <c r="P81" s="60" t="s">
        <v>1620</v>
      </c>
      <c r="Q81" s="60" t="s">
        <v>1621</v>
      </c>
      <c r="R81" s="60" t="s">
        <v>1622</v>
      </c>
      <c r="S81" s="60" t="s">
        <v>1623</v>
      </c>
      <c r="T81" s="60" t="s">
        <v>1624</v>
      </c>
      <c r="U81" s="60" t="s">
        <v>1625</v>
      </c>
      <c r="V81" s="61" t="s">
        <v>1626</v>
      </c>
      <c r="W81" s="60" t="s">
        <v>1627</v>
      </c>
      <c r="X81" s="60" t="s">
        <v>1628</v>
      </c>
      <c r="Y81" s="60" t="s">
        <v>1626</v>
      </c>
      <c r="Z81" s="60" t="s">
        <v>1619</v>
      </c>
      <c r="AA81" s="60" t="s">
        <v>1629</v>
      </c>
      <c r="AB81" s="62" t="s">
        <v>1630</v>
      </c>
      <c r="AC81" s="39" t="s">
        <v>1631</v>
      </c>
    </row>
    <row r="82" spans="1:29" x14ac:dyDescent="0.3">
      <c r="A82" s="39" t="s">
        <v>1632</v>
      </c>
      <c r="B82" s="50" t="str">
        <f t="shared" si="8"/>
        <v>Juh</v>
      </c>
      <c r="C82" s="50" t="str">
        <f t="shared" si="9"/>
        <v>Juh (Ovis aries) [A16]</v>
      </c>
      <c r="D82" s="59" t="s">
        <v>1633</v>
      </c>
      <c r="E82" s="60" t="s">
        <v>1634</v>
      </c>
      <c r="F82" s="61" t="s">
        <v>1635</v>
      </c>
      <c r="G82" s="60" t="s">
        <v>1636</v>
      </c>
      <c r="H82" s="60" t="s">
        <v>1637</v>
      </c>
      <c r="I82" s="76" t="s">
        <v>1638</v>
      </c>
      <c r="J82" s="60" t="s">
        <v>1639</v>
      </c>
      <c r="K82" s="60" t="s">
        <v>1640</v>
      </c>
      <c r="L82" s="60" t="s">
        <v>1641</v>
      </c>
      <c r="M82" s="60" t="s">
        <v>1642</v>
      </c>
      <c r="N82" s="60"/>
      <c r="O82" s="60" t="s">
        <v>1643</v>
      </c>
      <c r="P82" s="60" t="s">
        <v>1644</v>
      </c>
      <c r="Q82" s="60" t="s">
        <v>1645</v>
      </c>
      <c r="R82" s="60" t="s">
        <v>1646</v>
      </c>
      <c r="S82" s="60" t="s">
        <v>1647</v>
      </c>
      <c r="T82" s="60" t="s">
        <v>1648</v>
      </c>
      <c r="U82" s="60" t="s">
        <v>1649</v>
      </c>
      <c r="V82" s="61" t="s">
        <v>1650</v>
      </c>
      <c r="W82" s="60" t="s">
        <v>1651</v>
      </c>
      <c r="X82" s="60" t="s">
        <v>1652</v>
      </c>
      <c r="Y82" s="60" t="s">
        <v>1643</v>
      </c>
      <c r="Z82" s="60" t="s">
        <v>1643</v>
      </c>
      <c r="AA82" s="60" t="s">
        <v>1635</v>
      </c>
      <c r="AB82" s="62" t="s">
        <v>1653</v>
      </c>
      <c r="AC82" s="39" t="s">
        <v>1654</v>
      </c>
    </row>
    <row r="83" spans="1:29" x14ac:dyDescent="0.3">
      <c r="A83" s="39" t="s">
        <v>1655</v>
      </c>
      <c r="B83" s="50" t="str">
        <f t="shared" si="8"/>
        <v>Szarvasmarha</v>
      </c>
      <c r="C83" s="50" t="str">
        <f t="shared" si="9"/>
        <v>Szarvasmarha (Bos taurus) [A17]</v>
      </c>
      <c r="D83" s="59" t="s">
        <v>1656</v>
      </c>
      <c r="E83" s="60" t="s">
        <v>1657</v>
      </c>
      <c r="F83" s="61" t="s">
        <v>1658</v>
      </c>
      <c r="G83" s="60" t="s">
        <v>1659</v>
      </c>
      <c r="H83" s="60" t="s">
        <v>1660</v>
      </c>
      <c r="I83" s="76" t="s">
        <v>1661</v>
      </c>
      <c r="J83" s="60" t="s">
        <v>1662</v>
      </c>
      <c r="K83" s="60" t="s">
        <v>1663</v>
      </c>
      <c r="L83" s="60" t="s">
        <v>1664</v>
      </c>
      <c r="M83" s="60" t="s">
        <v>1665</v>
      </c>
      <c r="N83" s="60"/>
      <c r="O83" s="60" t="s">
        <v>1666</v>
      </c>
      <c r="P83" s="60" t="s">
        <v>1667</v>
      </c>
      <c r="Q83" s="60" t="s">
        <v>1668</v>
      </c>
      <c r="R83" s="60" t="s">
        <v>1669</v>
      </c>
      <c r="S83" s="60" t="s">
        <v>1670</v>
      </c>
      <c r="T83" s="60" t="s">
        <v>1671</v>
      </c>
      <c r="U83" s="60" t="s">
        <v>1672</v>
      </c>
      <c r="V83" s="61" t="s">
        <v>1673</v>
      </c>
      <c r="W83" s="60" t="s">
        <v>1662</v>
      </c>
      <c r="X83" s="60" t="s">
        <v>1674</v>
      </c>
      <c r="Y83" s="60" t="s">
        <v>1675</v>
      </c>
      <c r="Z83" s="60" t="s">
        <v>1676</v>
      </c>
      <c r="AA83" s="60" t="s">
        <v>1677</v>
      </c>
      <c r="AB83" s="62" t="s">
        <v>1678</v>
      </c>
      <c r="AC83" s="39" t="s">
        <v>1679</v>
      </c>
    </row>
    <row r="84" spans="1:29" x14ac:dyDescent="0.3">
      <c r="A84" s="39" t="s">
        <v>1680</v>
      </c>
      <c r="B84" s="50" t="str">
        <f t="shared" si="8"/>
        <v>Félmajmok</v>
      </c>
      <c r="C84" s="50" t="str">
        <f t="shared" si="9"/>
        <v>Félmajmok (Prosimia) [A18]</v>
      </c>
      <c r="D84" s="59" t="s">
        <v>1681</v>
      </c>
      <c r="E84" s="60" t="s">
        <v>1682</v>
      </c>
      <c r="F84" s="61" t="s">
        <v>1683</v>
      </c>
      <c r="G84" s="60" t="s">
        <v>1684</v>
      </c>
      <c r="H84" s="60" t="s">
        <v>1685</v>
      </c>
      <c r="I84" s="76" t="s">
        <v>1686</v>
      </c>
      <c r="J84" s="60" t="s">
        <v>1687</v>
      </c>
      <c r="K84" s="60" t="s">
        <v>1688</v>
      </c>
      <c r="L84" s="60" t="s">
        <v>1689</v>
      </c>
      <c r="M84" s="60" t="s">
        <v>1690</v>
      </c>
      <c r="N84" s="60"/>
      <c r="O84" s="60" t="s">
        <v>1691</v>
      </c>
      <c r="P84" s="60" t="s">
        <v>1692</v>
      </c>
      <c r="Q84" s="60" t="s">
        <v>1693</v>
      </c>
      <c r="R84" s="60" t="s">
        <v>1694</v>
      </c>
      <c r="S84" s="60" t="s">
        <v>1695</v>
      </c>
      <c r="T84" s="60" t="s">
        <v>1696</v>
      </c>
      <c r="U84" s="60" t="s">
        <v>1697</v>
      </c>
      <c r="V84" s="61" t="s">
        <v>1698</v>
      </c>
      <c r="W84" s="60" t="s">
        <v>1699</v>
      </c>
      <c r="X84" s="60" t="s">
        <v>1700</v>
      </c>
      <c r="Y84" s="60" t="s">
        <v>1701</v>
      </c>
      <c r="Z84" s="60" t="s">
        <v>1702</v>
      </c>
      <c r="AA84" s="60" t="s">
        <v>1703</v>
      </c>
      <c r="AB84" s="62" t="s">
        <v>1704</v>
      </c>
      <c r="AC84" s="39" t="s">
        <v>1705</v>
      </c>
    </row>
    <row r="85" spans="1:29" x14ac:dyDescent="0.3">
      <c r="A85" s="39" t="s">
        <v>1706</v>
      </c>
      <c r="B85" s="50" t="str">
        <f t="shared" si="8"/>
        <v>Selyemmajom és oroszlánmajom</v>
      </c>
      <c r="C85" s="50" t="str">
        <f t="shared" si="9"/>
        <v>Selyemmajom és oroszlánmajom (Callithrix jacchus) [A19]</v>
      </c>
      <c r="D85" s="59" t="s">
        <v>1707</v>
      </c>
      <c r="E85" s="60" t="s">
        <v>1708</v>
      </c>
      <c r="F85" s="61" t="s">
        <v>1709</v>
      </c>
      <c r="G85" s="60" t="s">
        <v>1710</v>
      </c>
      <c r="H85" s="60" t="s">
        <v>1711</v>
      </c>
      <c r="I85" s="76" t="s">
        <v>1712</v>
      </c>
      <c r="J85" s="60" t="s">
        <v>1713</v>
      </c>
      <c r="K85" s="60" t="s">
        <v>1714</v>
      </c>
      <c r="L85" s="60" t="s">
        <v>1715</v>
      </c>
      <c r="M85" s="60" t="s">
        <v>1716</v>
      </c>
      <c r="N85" s="60"/>
      <c r="O85" s="60" t="s">
        <v>1717</v>
      </c>
      <c r="P85" s="60" t="s">
        <v>1718</v>
      </c>
      <c r="Q85" s="60" t="s">
        <v>1719</v>
      </c>
      <c r="R85" s="60" t="s">
        <v>1720</v>
      </c>
      <c r="S85" s="60" t="s">
        <v>1721</v>
      </c>
      <c r="T85" s="60" t="s">
        <v>1722</v>
      </c>
      <c r="U85" s="60" t="s">
        <v>1723</v>
      </c>
      <c r="V85" s="61" t="s">
        <v>1724</v>
      </c>
      <c r="W85" s="60" t="s">
        <v>1725</v>
      </c>
      <c r="X85" s="60" t="s">
        <v>1726</v>
      </c>
      <c r="Y85" s="60" t="s">
        <v>1727</v>
      </c>
      <c r="Z85" s="60" t="s">
        <v>1728</v>
      </c>
      <c r="AA85" s="60" t="s">
        <v>1729</v>
      </c>
      <c r="AB85" s="62" t="s">
        <v>1730</v>
      </c>
      <c r="AC85" s="39" t="s">
        <v>1731</v>
      </c>
    </row>
    <row r="86" spans="1:29" x14ac:dyDescent="0.3">
      <c r="A86" s="39" t="s">
        <v>1732</v>
      </c>
      <c r="B86" s="50" t="str">
        <f t="shared" si="8"/>
        <v>Közönséges makákó</v>
      </c>
      <c r="C86" s="50" t="str">
        <f t="shared" si="9"/>
        <v>Közönséges makákó (Macaca fascicularis) [A20]</v>
      </c>
      <c r="D86" s="59" t="s">
        <v>1733</v>
      </c>
      <c r="E86" s="60" t="s">
        <v>1734</v>
      </c>
      <c r="F86" s="61" t="s">
        <v>1735</v>
      </c>
      <c r="G86" s="60" t="s">
        <v>1736</v>
      </c>
      <c r="H86" s="60" t="s">
        <v>1737</v>
      </c>
      <c r="I86" s="76" t="s">
        <v>1738</v>
      </c>
      <c r="J86" s="60" t="s">
        <v>1739</v>
      </c>
      <c r="K86" s="60" t="s">
        <v>1740</v>
      </c>
      <c r="L86" s="60" t="s">
        <v>1741</v>
      </c>
      <c r="M86" s="60" t="s">
        <v>1742</v>
      </c>
      <c r="N86" s="60"/>
      <c r="O86" s="60" t="s">
        <v>1743</v>
      </c>
      <c r="P86" s="60" t="s">
        <v>1744</v>
      </c>
      <c r="Q86" s="60" t="s">
        <v>1745</v>
      </c>
      <c r="R86" s="60" t="s">
        <v>1746</v>
      </c>
      <c r="S86" s="60" t="s">
        <v>1747</v>
      </c>
      <c r="T86" s="60" t="s">
        <v>1748</v>
      </c>
      <c r="U86" s="60" t="s">
        <v>1749</v>
      </c>
      <c r="V86" s="61" t="s">
        <v>1750</v>
      </c>
      <c r="W86" s="60" t="s">
        <v>1751</v>
      </c>
      <c r="X86" s="60" t="s">
        <v>1752</v>
      </c>
      <c r="Y86" s="60" t="s">
        <v>1753</v>
      </c>
      <c r="Z86" s="60" t="s">
        <v>1754</v>
      </c>
      <c r="AA86" s="60" t="s">
        <v>1755</v>
      </c>
      <c r="AB86" s="62" t="s">
        <v>1756</v>
      </c>
      <c r="AC86" s="39" t="s">
        <v>1757</v>
      </c>
    </row>
    <row r="87" spans="1:29" x14ac:dyDescent="0.3">
      <c r="A87" s="39" t="s">
        <v>1758</v>
      </c>
      <c r="B87" s="50" t="str">
        <f t="shared" si="8"/>
        <v>Rhesusmajom</v>
      </c>
      <c r="C87" s="50" t="str">
        <f t="shared" si="9"/>
        <v>Rhesusmajom (Macaca mulatta) [A21]</v>
      </c>
      <c r="D87" s="59" t="s">
        <v>1759</v>
      </c>
      <c r="E87" s="60" t="s">
        <v>1760</v>
      </c>
      <c r="F87" s="61" t="s">
        <v>1761</v>
      </c>
      <c r="G87" s="60" t="s">
        <v>1762</v>
      </c>
      <c r="H87" s="60" t="s">
        <v>1763</v>
      </c>
      <c r="I87" s="76" t="s">
        <v>1764</v>
      </c>
      <c r="J87" s="60" t="s">
        <v>1765</v>
      </c>
      <c r="K87" s="60" t="s">
        <v>1766</v>
      </c>
      <c r="L87" s="60" t="s">
        <v>1767</v>
      </c>
      <c r="M87" s="60" t="s">
        <v>1768</v>
      </c>
      <c r="N87" s="60"/>
      <c r="O87" s="60" t="s">
        <v>1769</v>
      </c>
      <c r="P87" s="60" t="s">
        <v>1770</v>
      </c>
      <c r="Q87" s="60" t="s">
        <v>1771</v>
      </c>
      <c r="R87" s="60" t="s">
        <v>1772</v>
      </c>
      <c r="S87" s="60" t="s">
        <v>1773</v>
      </c>
      <c r="T87" s="60" t="s">
        <v>1774</v>
      </c>
      <c r="U87" s="60" t="s">
        <v>1775</v>
      </c>
      <c r="V87" s="61" t="s">
        <v>1776</v>
      </c>
      <c r="W87" s="60" t="s">
        <v>1777</v>
      </c>
      <c r="X87" s="60" t="s">
        <v>1778</v>
      </c>
      <c r="Y87" s="60" t="s">
        <v>1779</v>
      </c>
      <c r="Z87" s="60" t="s">
        <v>1780</v>
      </c>
      <c r="AA87" s="60" t="s">
        <v>1781</v>
      </c>
      <c r="AB87" s="62" t="s">
        <v>1782</v>
      </c>
      <c r="AC87" s="39" t="s">
        <v>1783</v>
      </c>
    </row>
    <row r="88" spans="1:29" x14ac:dyDescent="0.3">
      <c r="A88" s="39" t="s">
        <v>1784</v>
      </c>
      <c r="B88" s="50" t="str">
        <f t="shared" si="8"/>
        <v>Cerkófmajom (Chlorocebus spp.)</v>
      </c>
      <c r="C88" s="50" t="str">
        <f t="shared" si="9"/>
        <v>Cerkófmajom (Chlorocebus spp.) (usually either pygerythrus or sabaeus) [A22]</v>
      </c>
      <c r="D88" s="59" t="s">
        <v>1785</v>
      </c>
      <c r="E88" s="60" t="s">
        <v>1786</v>
      </c>
      <c r="F88" s="61" t="s">
        <v>1787</v>
      </c>
      <c r="G88" s="60" t="s">
        <v>1788</v>
      </c>
      <c r="H88" s="60" t="s">
        <v>1789</v>
      </c>
      <c r="I88" s="76" t="s">
        <v>1790</v>
      </c>
      <c r="J88" s="60" t="s">
        <v>1791</v>
      </c>
      <c r="K88" s="60" t="s">
        <v>1792</v>
      </c>
      <c r="L88" s="60" t="s">
        <v>1793</v>
      </c>
      <c r="M88" s="60" t="s">
        <v>1790</v>
      </c>
      <c r="N88" s="60"/>
      <c r="O88" s="60" t="s">
        <v>1794</v>
      </c>
      <c r="P88" s="60" t="s">
        <v>1795</v>
      </c>
      <c r="Q88" s="60" t="s">
        <v>1796</v>
      </c>
      <c r="R88" s="60" t="s">
        <v>1797</v>
      </c>
      <c r="S88" s="60" t="s">
        <v>1798</v>
      </c>
      <c r="T88" s="60" t="s">
        <v>1799</v>
      </c>
      <c r="U88" s="60" t="s">
        <v>1800</v>
      </c>
      <c r="V88" s="61" t="s">
        <v>1801</v>
      </c>
      <c r="W88" s="60" t="s">
        <v>1802</v>
      </c>
      <c r="X88" s="60" t="s">
        <v>1803</v>
      </c>
      <c r="Y88" s="60" t="s">
        <v>1804</v>
      </c>
      <c r="Z88" s="60" t="s">
        <v>1805</v>
      </c>
      <c r="AA88" s="60" t="s">
        <v>1806</v>
      </c>
      <c r="AB88" s="62" t="s">
        <v>1807</v>
      </c>
      <c r="AC88" s="39" t="s">
        <v>1808</v>
      </c>
    </row>
    <row r="89" spans="1:29" x14ac:dyDescent="0.3">
      <c r="A89" s="39" t="s">
        <v>1809</v>
      </c>
      <c r="B89" s="50" t="str">
        <f t="shared" si="8"/>
        <v>Pávián (Papio spp.)</v>
      </c>
      <c r="C89" s="50" t="str">
        <f t="shared" si="9"/>
        <v>Pávián (Papio spp.) (Papio spp.) [A23]</v>
      </c>
      <c r="D89" s="59" t="s">
        <v>1810</v>
      </c>
      <c r="E89" s="60" t="s">
        <v>1811</v>
      </c>
      <c r="F89" s="61" t="s">
        <v>1812</v>
      </c>
      <c r="G89" s="60" t="s">
        <v>1813</v>
      </c>
      <c r="H89" s="60" t="s">
        <v>1814</v>
      </c>
      <c r="I89" s="76" t="s">
        <v>1815</v>
      </c>
      <c r="J89" s="60" t="s">
        <v>1816</v>
      </c>
      <c r="K89" s="60" t="s">
        <v>1817</v>
      </c>
      <c r="L89" s="60" t="s">
        <v>1818</v>
      </c>
      <c r="M89" s="60" t="s">
        <v>1819</v>
      </c>
      <c r="N89" s="60"/>
      <c r="O89" s="60" t="s">
        <v>1820</v>
      </c>
      <c r="P89" s="60" t="s">
        <v>1821</v>
      </c>
      <c r="Q89" s="60" t="s">
        <v>1822</v>
      </c>
      <c r="R89" s="60" t="s">
        <v>1823</v>
      </c>
      <c r="S89" s="60" t="s">
        <v>1824</v>
      </c>
      <c r="T89" s="60" t="s">
        <v>1825</v>
      </c>
      <c r="U89" s="60" t="s">
        <v>1826</v>
      </c>
      <c r="V89" s="61" t="s">
        <v>1827</v>
      </c>
      <c r="W89" s="60" t="s">
        <v>1828</v>
      </c>
      <c r="X89" s="60" t="s">
        <v>1829</v>
      </c>
      <c r="Y89" s="60" t="s">
        <v>1830</v>
      </c>
      <c r="Z89" s="60" t="s">
        <v>1831</v>
      </c>
      <c r="AA89" s="60" t="s">
        <v>1832</v>
      </c>
      <c r="AB89" s="62" t="s">
        <v>1833</v>
      </c>
      <c r="AC89" s="39" t="s">
        <v>1834</v>
      </c>
    </row>
    <row r="90" spans="1:29" x14ac:dyDescent="0.3">
      <c r="A90" s="39" t="s">
        <v>1835</v>
      </c>
      <c r="B90" s="50" t="str">
        <f t="shared" si="8"/>
        <v>Mókusmajom</v>
      </c>
      <c r="C90" s="50" t="str">
        <f t="shared" si="9"/>
        <v>Mókusmajom (Saimiri sciureus) [A24]</v>
      </c>
      <c r="D90" s="59" t="s">
        <v>1836</v>
      </c>
      <c r="E90" s="60" t="s">
        <v>1837</v>
      </c>
      <c r="F90" s="61" t="s">
        <v>1838</v>
      </c>
      <c r="G90" s="60" t="s">
        <v>1839</v>
      </c>
      <c r="H90" s="60" t="s">
        <v>1840</v>
      </c>
      <c r="I90" s="76" t="s">
        <v>1841</v>
      </c>
      <c r="J90" s="60" t="s">
        <v>1842</v>
      </c>
      <c r="K90" s="60" t="s">
        <v>1843</v>
      </c>
      <c r="L90" s="60" t="s">
        <v>1844</v>
      </c>
      <c r="M90" s="60" t="s">
        <v>1845</v>
      </c>
      <c r="N90" s="60"/>
      <c r="O90" s="60" t="s">
        <v>1846</v>
      </c>
      <c r="P90" s="60" t="s">
        <v>1847</v>
      </c>
      <c r="Q90" s="60" t="s">
        <v>1848</v>
      </c>
      <c r="R90" s="60" t="s">
        <v>1849</v>
      </c>
      <c r="S90" s="60" t="s">
        <v>1850</v>
      </c>
      <c r="T90" s="60" t="s">
        <v>1851</v>
      </c>
      <c r="U90" s="60" t="s">
        <v>1852</v>
      </c>
      <c r="V90" s="61" t="s">
        <v>1853</v>
      </c>
      <c r="W90" s="60" t="s">
        <v>1854</v>
      </c>
      <c r="X90" s="60" t="s">
        <v>1855</v>
      </c>
      <c r="Y90" s="60" t="s">
        <v>1856</v>
      </c>
      <c r="Z90" s="60" t="s">
        <v>1857</v>
      </c>
      <c r="AA90" s="60" t="s">
        <v>1858</v>
      </c>
      <c r="AB90" s="62" t="s">
        <v>1859</v>
      </c>
      <c r="AC90" s="39" t="s">
        <v>1860</v>
      </c>
    </row>
    <row r="91" spans="1:29" x14ac:dyDescent="0.3">
      <c r="A91" s="39" t="s">
        <v>1861</v>
      </c>
      <c r="B91" s="50" t="str">
        <f t="shared" si="8"/>
        <v>Az óvilági majmok egyéb fajai</v>
      </c>
      <c r="C91" s="50" t="str">
        <f t="shared" si="9"/>
        <v>Az óvilági majmok egyéb fajai (other species of Cercopithecoidea) [A25-1]</v>
      </c>
      <c r="D91" s="59" t="s">
        <v>1862</v>
      </c>
      <c r="E91" s="60" t="s">
        <v>1863</v>
      </c>
      <c r="F91" s="61" t="s">
        <v>1864</v>
      </c>
      <c r="G91" s="60" t="s">
        <v>1865</v>
      </c>
      <c r="H91" s="60" t="s">
        <v>1866</v>
      </c>
      <c r="I91" s="76" t="s">
        <v>1867</v>
      </c>
      <c r="J91" s="60" t="s">
        <v>1868</v>
      </c>
      <c r="K91" s="60" t="s">
        <v>1869</v>
      </c>
      <c r="L91" s="60" t="s">
        <v>1870</v>
      </c>
      <c r="M91" s="60" t="s">
        <v>1871</v>
      </c>
      <c r="N91" s="60"/>
      <c r="O91" s="60" t="s">
        <v>1872</v>
      </c>
      <c r="P91" s="60" t="s">
        <v>1873</v>
      </c>
      <c r="Q91" s="60" t="s">
        <v>1874</v>
      </c>
      <c r="R91" s="60" t="s">
        <v>1875</v>
      </c>
      <c r="S91" s="60" t="s">
        <v>1876</v>
      </c>
      <c r="T91" s="60" t="s">
        <v>1877</v>
      </c>
      <c r="U91" s="60" t="s">
        <v>1878</v>
      </c>
      <c r="V91" s="61" t="s">
        <v>1879</v>
      </c>
      <c r="W91" s="60" t="s">
        <v>1880</v>
      </c>
      <c r="X91" s="60" t="s">
        <v>1881</v>
      </c>
      <c r="Y91" s="60" t="s">
        <v>1882</v>
      </c>
      <c r="Z91" s="60" t="s">
        <v>1883</v>
      </c>
      <c r="AA91" s="60" t="s">
        <v>1884</v>
      </c>
      <c r="AB91" s="62" t="s">
        <v>1885</v>
      </c>
      <c r="AC91" s="39" t="s">
        <v>1886</v>
      </c>
    </row>
    <row r="92" spans="1:29" x14ac:dyDescent="0.3">
      <c r="A92" s="39" t="s">
        <v>1887</v>
      </c>
      <c r="B92" s="50" t="str">
        <f t="shared" si="8"/>
        <v>Az újvilági majmok egyéb fajai</v>
      </c>
      <c r="C92" s="50" t="str">
        <f t="shared" si="9"/>
        <v>Az újvilági majmok egyéb fajai (other species of Ceboidea) [A25-2]</v>
      </c>
      <c r="D92" s="59" t="s">
        <v>1888</v>
      </c>
      <c r="E92" s="60" t="s">
        <v>1889</v>
      </c>
      <c r="F92" s="61" t="s">
        <v>1890</v>
      </c>
      <c r="G92" s="60" t="s">
        <v>1891</v>
      </c>
      <c r="H92" s="60" t="s">
        <v>1892</v>
      </c>
      <c r="I92" s="76" t="s">
        <v>1893</v>
      </c>
      <c r="J92" s="60" t="s">
        <v>1894</v>
      </c>
      <c r="K92" s="60" t="s">
        <v>1895</v>
      </c>
      <c r="L92" s="60" t="s">
        <v>1896</v>
      </c>
      <c r="M92" s="60" t="s">
        <v>1897</v>
      </c>
      <c r="N92" s="60"/>
      <c r="O92" s="60" t="s">
        <v>1898</v>
      </c>
      <c r="P92" s="60" t="s">
        <v>1899</v>
      </c>
      <c r="Q92" s="60" t="s">
        <v>1900</v>
      </c>
      <c r="R92" s="60" t="s">
        <v>1901</v>
      </c>
      <c r="S92" s="60" t="s">
        <v>1902</v>
      </c>
      <c r="T92" s="60" t="s">
        <v>1903</v>
      </c>
      <c r="U92" s="60" t="s">
        <v>1904</v>
      </c>
      <c r="V92" s="61" t="s">
        <v>1905</v>
      </c>
      <c r="W92" s="60" t="s">
        <v>1906</v>
      </c>
      <c r="X92" s="60" t="s">
        <v>1907</v>
      </c>
      <c r="Y92" s="60" t="s">
        <v>1908</v>
      </c>
      <c r="Z92" s="60" t="s">
        <v>1909</v>
      </c>
      <c r="AA92" s="60" t="s">
        <v>1910</v>
      </c>
      <c r="AB92" s="62" t="s">
        <v>1911</v>
      </c>
      <c r="AC92" s="39" t="s">
        <v>1912</v>
      </c>
    </row>
    <row r="93" spans="1:29" x14ac:dyDescent="0.3">
      <c r="A93" s="39" t="s">
        <v>1913</v>
      </c>
      <c r="B93" s="50" t="str">
        <f t="shared" si="8"/>
        <v>Emberszabású majmok</v>
      </c>
      <c r="C93" s="50" t="str">
        <f t="shared" si="9"/>
        <v>Emberszabású majmok (Hominoidea) [A26]</v>
      </c>
      <c r="D93" s="59" t="s">
        <v>1914</v>
      </c>
      <c r="E93" s="60" t="s">
        <v>1915</v>
      </c>
      <c r="F93" s="61" t="s">
        <v>1916</v>
      </c>
      <c r="G93" s="60" t="s">
        <v>1917</v>
      </c>
      <c r="H93" s="60" t="s">
        <v>1918</v>
      </c>
      <c r="I93" s="76" t="s">
        <v>1919</v>
      </c>
      <c r="J93" s="60" t="s">
        <v>1920</v>
      </c>
      <c r="K93" s="60" t="s">
        <v>1921</v>
      </c>
      <c r="L93" s="60" t="s">
        <v>1922</v>
      </c>
      <c r="M93" s="60" t="s">
        <v>1923</v>
      </c>
      <c r="N93" s="60"/>
      <c r="O93" s="60" t="s">
        <v>1924</v>
      </c>
      <c r="P93" s="60" t="s">
        <v>1925</v>
      </c>
      <c r="Q93" s="60" t="s">
        <v>1926</v>
      </c>
      <c r="R93" s="60" t="s">
        <v>1927</v>
      </c>
      <c r="S93" s="60" t="s">
        <v>1928</v>
      </c>
      <c r="T93" s="60" t="s">
        <v>1929</v>
      </c>
      <c r="U93" s="60" t="s">
        <v>1930</v>
      </c>
      <c r="V93" s="61" t="s">
        <v>1931</v>
      </c>
      <c r="W93" s="60" t="s">
        <v>1932</v>
      </c>
      <c r="X93" s="60" t="s">
        <v>1933</v>
      </c>
      <c r="Y93" s="60" t="s">
        <v>1934</v>
      </c>
      <c r="Z93" s="60" t="s">
        <v>1935</v>
      </c>
      <c r="AA93" s="60" t="s">
        <v>1936</v>
      </c>
      <c r="AB93" s="62" t="s">
        <v>1937</v>
      </c>
      <c r="AC93" s="39" t="s">
        <v>1938</v>
      </c>
    </row>
    <row r="94" spans="1:29" x14ac:dyDescent="0.3">
      <c r="A94" s="39" t="s">
        <v>1939</v>
      </c>
      <c r="B94" s="50" t="str">
        <f t="shared" si="8"/>
        <v>Egyéb emlősök</v>
      </c>
      <c r="C94" s="50" t="str">
        <f t="shared" si="9"/>
        <v>Egyéb emlősök (other Mammalia) [A27]</v>
      </c>
      <c r="D94" s="59" t="s">
        <v>1940</v>
      </c>
      <c r="E94" s="60" t="s">
        <v>1941</v>
      </c>
      <c r="F94" s="61" t="s">
        <v>1942</v>
      </c>
      <c r="G94" s="60" t="s">
        <v>1943</v>
      </c>
      <c r="H94" s="60" t="s">
        <v>1944</v>
      </c>
      <c r="I94" s="76" t="s">
        <v>1945</v>
      </c>
      <c r="J94" s="60" t="s">
        <v>1946</v>
      </c>
      <c r="K94" s="60" t="s">
        <v>1947</v>
      </c>
      <c r="L94" s="60" t="s">
        <v>1948</v>
      </c>
      <c r="M94" s="60" t="s">
        <v>1949</v>
      </c>
      <c r="N94" s="60"/>
      <c r="O94" s="60" t="s">
        <v>1950</v>
      </c>
      <c r="P94" s="60" t="s">
        <v>1951</v>
      </c>
      <c r="Q94" s="60" t="s">
        <v>1952</v>
      </c>
      <c r="R94" s="60" t="s">
        <v>1953</v>
      </c>
      <c r="S94" s="60" t="s">
        <v>1954</v>
      </c>
      <c r="T94" s="60" t="s">
        <v>1955</v>
      </c>
      <c r="U94" s="60" t="s">
        <v>1956</v>
      </c>
      <c r="V94" s="61" t="s">
        <v>1957</v>
      </c>
      <c r="W94" s="60" t="s">
        <v>1958</v>
      </c>
      <c r="X94" s="60" t="s">
        <v>1959</v>
      </c>
      <c r="Y94" s="60" t="s">
        <v>1960</v>
      </c>
      <c r="Z94" s="60" t="s">
        <v>1961</v>
      </c>
      <c r="AA94" s="60" t="s">
        <v>1962</v>
      </c>
      <c r="AB94" s="62" t="s">
        <v>1942</v>
      </c>
      <c r="AC94" s="39" t="s">
        <v>1963</v>
      </c>
    </row>
    <row r="95" spans="1:29" x14ac:dyDescent="0.3">
      <c r="A95" s="39" t="s">
        <v>1964</v>
      </c>
      <c r="B95" s="50" t="str">
        <f t="shared" si="8"/>
        <v>Házi tyúk</v>
      </c>
      <c r="C95" s="50" t="str">
        <f t="shared" si="9"/>
        <v>Házi tyúk (Gallus gallus domesticus) [A28]</v>
      </c>
      <c r="D95" s="59" t="s">
        <v>1965</v>
      </c>
      <c r="E95" s="60" t="s">
        <v>1966</v>
      </c>
      <c r="F95" s="61" t="s">
        <v>1967</v>
      </c>
      <c r="G95" s="60" t="s">
        <v>1968</v>
      </c>
      <c r="H95" s="60" t="s">
        <v>1969</v>
      </c>
      <c r="I95" s="76" t="s">
        <v>1970</v>
      </c>
      <c r="J95" s="60" t="s">
        <v>1971</v>
      </c>
      <c r="K95" s="60" t="s">
        <v>1972</v>
      </c>
      <c r="L95" s="60" t="s">
        <v>1973</v>
      </c>
      <c r="M95" s="60" t="s">
        <v>1974</v>
      </c>
      <c r="N95" s="60"/>
      <c r="O95" s="60" t="s">
        <v>1975</v>
      </c>
      <c r="P95" s="60" t="s">
        <v>1976</v>
      </c>
      <c r="Q95" s="60" t="s">
        <v>1977</v>
      </c>
      <c r="R95" s="60" t="s">
        <v>1978</v>
      </c>
      <c r="S95" s="60" t="s">
        <v>1979</v>
      </c>
      <c r="T95" s="60" t="s">
        <v>1980</v>
      </c>
      <c r="U95" s="60" t="s">
        <v>1981</v>
      </c>
      <c r="V95" s="61" t="s">
        <v>1982</v>
      </c>
      <c r="W95" s="60" t="s">
        <v>1983</v>
      </c>
      <c r="X95" s="60" t="s">
        <v>1984</v>
      </c>
      <c r="Y95" s="60" t="s">
        <v>1985</v>
      </c>
      <c r="Z95" s="60" t="s">
        <v>1986</v>
      </c>
      <c r="AA95" s="60" t="s">
        <v>1987</v>
      </c>
      <c r="AB95" s="62" t="s">
        <v>1988</v>
      </c>
      <c r="AC95" s="39" t="s">
        <v>1989</v>
      </c>
    </row>
    <row r="96" spans="1:29" x14ac:dyDescent="0.3">
      <c r="A96" s="70" t="s">
        <v>1990</v>
      </c>
      <c r="B96" s="50" t="str">
        <f t="shared" si="8"/>
        <v>Pulyka</v>
      </c>
      <c r="C96" s="50" t="str">
        <f t="shared" si="9"/>
        <v>Pulyka (Meleagris gallopavo) [A37]</v>
      </c>
      <c r="D96" s="59" t="s">
        <v>1991</v>
      </c>
      <c r="E96" s="60" t="s">
        <v>1992</v>
      </c>
      <c r="F96" s="61" t="s">
        <v>1993</v>
      </c>
      <c r="G96" s="60" t="s">
        <v>1994</v>
      </c>
      <c r="H96" s="60" t="s">
        <v>1995</v>
      </c>
      <c r="I96" s="76" t="s">
        <v>1996</v>
      </c>
      <c r="J96" s="60" t="s">
        <v>1997</v>
      </c>
      <c r="K96" s="60" t="s">
        <v>1998</v>
      </c>
      <c r="L96" s="60" t="s">
        <v>1999</v>
      </c>
      <c r="M96" s="60" t="s">
        <v>2000</v>
      </c>
      <c r="N96" s="60"/>
      <c r="O96" s="60" t="s">
        <v>2001</v>
      </c>
      <c r="P96" s="60" t="s">
        <v>2002</v>
      </c>
      <c r="Q96" s="60" t="s">
        <v>2003</v>
      </c>
      <c r="R96" s="60" t="s">
        <v>2004</v>
      </c>
      <c r="S96" s="60" t="s">
        <v>2005</v>
      </c>
      <c r="T96" s="60" t="s">
        <v>2006</v>
      </c>
      <c r="U96" s="60" t="s">
        <v>2007</v>
      </c>
      <c r="V96" s="61" t="s">
        <v>2008</v>
      </c>
      <c r="W96" s="60" t="s">
        <v>2009</v>
      </c>
      <c r="X96" s="60" t="s">
        <v>2010</v>
      </c>
      <c r="Y96" s="60" t="s">
        <v>2011</v>
      </c>
      <c r="Z96" s="60" t="s">
        <v>2001</v>
      </c>
      <c r="AA96" s="60" t="s">
        <v>2012</v>
      </c>
      <c r="AB96" s="62" t="s">
        <v>1993</v>
      </c>
      <c r="AC96" s="39" t="s">
        <v>2013</v>
      </c>
    </row>
    <row r="97" spans="1:29" x14ac:dyDescent="0.3">
      <c r="A97" s="39" t="s">
        <v>2014</v>
      </c>
      <c r="B97" s="50" t="str">
        <f t="shared" si="8"/>
        <v>Egyéb madarak</v>
      </c>
      <c r="C97" s="50" t="str">
        <f t="shared" si="9"/>
        <v>Egyéb madarak (other Aves) [A29]</v>
      </c>
      <c r="D97" s="59" t="s">
        <v>2015</v>
      </c>
      <c r="E97" s="60" t="s">
        <v>2016</v>
      </c>
      <c r="F97" s="61" t="s">
        <v>2017</v>
      </c>
      <c r="G97" s="60" t="s">
        <v>2018</v>
      </c>
      <c r="H97" s="60" t="s">
        <v>2019</v>
      </c>
      <c r="I97" s="76" t="s">
        <v>2020</v>
      </c>
      <c r="J97" s="60" t="s">
        <v>2021</v>
      </c>
      <c r="K97" s="60" t="s">
        <v>2022</v>
      </c>
      <c r="L97" s="60" t="s">
        <v>2023</v>
      </c>
      <c r="M97" s="60" t="s">
        <v>2024</v>
      </c>
      <c r="N97" s="60"/>
      <c r="O97" s="60" t="s">
        <v>2025</v>
      </c>
      <c r="P97" s="60" t="s">
        <v>2026</v>
      </c>
      <c r="Q97" s="60" t="s">
        <v>2027</v>
      </c>
      <c r="R97" s="60" t="s">
        <v>2028</v>
      </c>
      <c r="S97" s="60" t="s">
        <v>2029</v>
      </c>
      <c r="T97" s="60" t="s">
        <v>2030</v>
      </c>
      <c r="U97" s="60" t="s">
        <v>2031</v>
      </c>
      <c r="V97" s="61" t="s">
        <v>2032</v>
      </c>
      <c r="W97" s="60" t="s">
        <v>2033</v>
      </c>
      <c r="X97" s="60" t="s">
        <v>2034</v>
      </c>
      <c r="Y97" s="60" t="s">
        <v>2035</v>
      </c>
      <c r="Z97" s="60" t="s">
        <v>2036</v>
      </c>
      <c r="AA97" s="60" t="s">
        <v>2037</v>
      </c>
      <c r="AB97" s="62" t="s">
        <v>2038</v>
      </c>
      <c r="AC97" s="39" t="s">
        <v>2039</v>
      </c>
    </row>
    <row r="98" spans="1:29" x14ac:dyDescent="0.3">
      <c r="A98" s="39" t="s">
        <v>2040</v>
      </c>
      <c r="B98" s="50" t="str">
        <f t="shared" si="8"/>
        <v>Hüllők</v>
      </c>
      <c r="C98" s="50" t="str">
        <f t="shared" si="9"/>
        <v>Hüllők (Reptilia) [A30]</v>
      </c>
      <c r="D98" s="59" t="s">
        <v>2041</v>
      </c>
      <c r="E98" s="60" t="s">
        <v>2042</v>
      </c>
      <c r="F98" s="61" t="s">
        <v>2043</v>
      </c>
      <c r="G98" s="60" t="s">
        <v>2044</v>
      </c>
      <c r="H98" s="60" t="s">
        <v>2045</v>
      </c>
      <c r="I98" s="76" t="s">
        <v>2046</v>
      </c>
      <c r="J98" s="60" t="s">
        <v>2046</v>
      </c>
      <c r="K98" s="60" t="s">
        <v>2047</v>
      </c>
      <c r="L98" s="60" t="s">
        <v>2048</v>
      </c>
      <c r="M98" s="60" t="s">
        <v>2046</v>
      </c>
      <c r="N98" s="60"/>
      <c r="O98" s="60" t="s">
        <v>2049</v>
      </c>
      <c r="P98" s="60" t="s">
        <v>2050</v>
      </c>
      <c r="Q98" s="60" t="s">
        <v>2051</v>
      </c>
      <c r="R98" s="60" t="s">
        <v>2052</v>
      </c>
      <c r="S98" s="60" t="s">
        <v>2053</v>
      </c>
      <c r="T98" s="60" t="s">
        <v>2051</v>
      </c>
      <c r="U98" s="60" t="s">
        <v>2054</v>
      </c>
      <c r="V98" s="61" t="s">
        <v>2055</v>
      </c>
      <c r="W98" s="60" t="s">
        <v>2056</v>
      </c>
      <c r="X98" s="60" t="s">
        <v>2057</v>
      </c>
      <c r="Y98" s="60" t="s">
        <v>2058</v>
      </c>
      <c r="Z98" s="60" t="s">
        <v>2059</v>
      </c>
      <c r="AA98" s="60" t="s">
        <v>2060</v>
      </c>
      <c r="AB98" s="62" t="s">
        <v>2061</v>
      </c>
      <c r="AC98" s="39" t="s">
        <v>2062</v>
      </c>
    </row>
    <row r="99" spans="1:29" x14ac:dyDescent="0.3">
      <c r="A99" s="39" t="s">
        <v>2063</v>
      </c>
      <c r="B99" s="50" t="str">
        <f t="shared" si="8"/>
        <v>A Rana nembe tartozó béka</v>
      </c>
      <c r="C99" s="50" t="str">
        <f t="shared" si="9"/>
        <v>A Rana nembe tartozó béka (Rana temporaria and Rana pipiens) [A31]</v>
      </c>
      <c r="D99" s="59" t="s">
        <v>2064</v>
      </c>
      <c r="E99" s="60" t="s">
        <v>2065</v>
      </c>
      <c r="F99" s="61" t="s">
        <v>2066</v>
      </c>
      <c r="G99" s="60" t="s">
        <v>2067</v>
      </c>
      <c r="H99" s="60" t="s">
        <v>2068</v>
      </c>
      <c r="I99" s="76" t="s">
        <v>2066</v>
      </c>
      <c r="J99" s="60" t="s">
        <v>2069</v>
      </c>
      <c r="K99" s="60" t="s">
        <v>2070</v>
      </c>
      <c r="L99" s="60" t="s">
        <v>2071</v>
      </c>
      <c r="M99" s="60" t="s">
        <v>2072</v>
      </c>
      <c r="N99" s="60"/>
      <c r="O99" s="60" t="s">
        <v>2073</v>
      </c>
      <c r="P99" s="60" t="s">
        <v>2074</v>
      </c>
      <c r="Q99" s="60" t="s">
        <v>2075</v>
      </c>
      <c r="R99" s="60" t="s">
        <v>2076</v>
      </c>
      <c r="S99" s="60" t="s">
        <v>2077</v>
      </c>
      <c r="T99" s="60" t="s">
        <v>2066</v>
      </c>
      <c r="U99" s="60" t="s">
        <v>2078</v>
      </c>
      <c r="V99" s="61" t="s">
        <v>2079</v>
      </c>
      <c r="W99" s="60" t="s">
        <v>2080</v>
      </c>
      <c r="X99" s="60" t="s">
        <v>2066</v>
      </c>
      <c r="Y99" s="60" t="s">
        <v>2081</v>
      </c>
      <c r="Z99" s="78" t="s">
        <v>2066</v>
      </c>
      <c r="AA99" s="60" t="s">
        <v>2082</v>
      </c>
      <c r="AB99" s="62" t="s">
        <v>2083</v>
      </c>
      <c r="AC99" s="39" t="s">
        <v>2084</v>
      </c>
    </row>
    <row r="100" spans="1:29" x14ac:dyDescent="0.3">
      <c r="A100" s="39" t="s">
        <v>2085</v>
      </c>
      <c r="B100" s="50" t="str">
        <f t="shared" si="8"/>
        <v>A Xenopus nembe tartozó béka</v>
      </c>
      <c r="C100" s="50" t="str">
        <f t="shared" si="9"/>
        <v>A Xenopus nembe tartozó béka (Xenopus laevis and Xenopus tropicalis) [A32]</v>
      </c>
      <c r="D100" s="59" t="s">
        <v>2086</v>
      </c>
      <c r="E100" s="60" t="s">
        <v>2087</v>
      </c>
      <c r="F100" s="61" t="s">
        <v>2088</v>
      </c>
      <c r="G100" s="60" t="s">
        <v>2089</v>
      </c>
      <c r="H100" s="60" t="s">
        <v>2090</v>
      </c>
      <c r="I100" s="76" t="s">
        <v>2088</v>
      </c>
      <c r="J100" s="60" t="s">
        <v>2091</v>
      </c>
      <c r="K100" s="60" t="s">
        <v>2092</v>
      </c>
      <c r="L100" s="60" t="s">
        <v>2093</v>
      </c>
      <c r="M100" s="60" t="s">
        <v>2094</v>
      </c>
      <c r="N100" s="60"/>
      <c r="O100" s="60" t="s">
        <v>2095</v>
      </c>
      <c r="P100" s="60" t="s">
        <v>2096</v>
      </c>
      <c r="Q100" s="60" t="s">
        <v>2097</v>
      </c>
      <c r="R100" s="60" t="s">
        <v>2098</v>
      </c>
      <c r="S100" s="60" t="s">
        <v>2099</v>
      </c>
      <c r="T100" s="60" t="s">
        <v>2088</v>
      </c>
      <c r="U100" s="60" t="s">
        <v>2100</v>
      </c>
      <c r="V100" s="61" t="s">
        <v>2101</v>
      </c>
      <c r="W100" s="60" t="s">
        <v>2102</v>
      </c>
      <c r="X100" s="60" t="s">
        <v>2088</v>
      </c>
      <c r="Y100" s="60" t="s">
        <v>2103</v>
      </c>
      <c r="Z100" s="78" t="s">
        <v>2088</v>
      </c>
      <c r="AA100" s="60" t="s">
        <v>2104</v>
      </c>
      <c r="AB100" s="62" t="s">
        <v>2105</v>
      </c>
      <c r="AC100" s="39" t="s">
        <v>2106</v>
      </c>
    </row>
    <row r="101" spans="1:29" x14ac:dyDescent="0.3">
      <c r="A101" s="39" t="s">
        <v>2107</v>
      </c>
      <c r="B101" s="50" t="str">
        <f t="shared" si="8"/>
        <v>Egyéb kétéltűek</v>
      </c>
      <c r="C101" s="50" t="str">
        <f t="shared" si="9"/>
        <v>Egyéb kétéltűek (other Amphibia) [A33]</v>
      </c>
      <c r="D101" s="59" t="s">
        <v>2108</v>
      </c>
      <c r="E101" s="60" t="s">
        <v>2109</v>
      </c>
      <c r="F101" s="61" t="s">
        <v>2110</v>
      </c>
      <c r="G101" s="60" t="s">
        <v>2111</v>
      </c>
      <c r="H101" s="60" t="s">
        <v>2112</v>
      </c>
      <c r="I101" s="76" t="s">
        <v>2113</v>
      </c>
      <c r="J101" s="60" t="s">
        <v>2114</v>
      </c>
      <c r="K101" s="60" t="s">
        <v>2115</v>
      </c>
      <c r="L101" s="60" t="s">
        <v>2116</v>
      </c>
      <c r="M101" s="60" t="s">
        <v>2117</v>
      </c>
      <c r="N101" s="60"/>
      <c r="O101" s="60" t="s">
        <v>2118</v>
      </c>
      <c r="P101" s="60" t="s">
        <v>2119</v>
      </c>
      <c r="Q101" s="60" t="s">
        <v>2120</v>
      </c>
      <c r="R101" s="60" t="s">
        <v>2121</v>
      </c>
      <c r="S101" s="60" t="s">
        <v>2122</v>
      </c>
      <c r="T101" s="60" t="s">
        <v>2123</v>
      </c>
      <c r="U101" s="60" t="s">
        <v>2124</v>
      </c>
      <c r="V101" s="61" t="s">
        <v>2125</v>
      </c>
      <c r="W101" s="60" t="s">
        <v>2126</v>
      </c>
      <c r="X101" s="60" t="s">
        <v>2127</v>
      </c>
      <c r="Y101" s="60" t="s">
        <v>2128</v>
      </c>
      <c r="Z101" s="60" t="s">
        <v>2129</v>
      </c>
      <c r="AA101" s="60" t="s">
        <v>2130</v>
      </c>
      <c r="AB101" s="62" t="s">
        <v>2131</v>
      </c>
      <c r="AC101" s="39" t="s">
        <v>2132</v>
      </c>
    </row>
    <row r="102" spans="1:29" x14ac:dyDescent="0.3">
      <c r="A102" s="39" t="s">
        <v>2133</v>
      </c>
      <c r="B102" s="50" t="str">
        <f t="shared" si="8"/>
        <v>Zebrahal</v>
      </c>
      <c r="C102" s="50" t="str">
        <f t="shared" si="9"/>
        <v>Zebrahal (Danio rerio) [A34]</v>
      </c>
      <c r="D102" s="59" t="s">
        <v>2134</v>
      </c>
      <c r="E102" s="60" t="s">
        <v>2135</v>
      </c>
      <c r="F102" s="61" t="s">
        <v>2136</v>
      </c>
      <c r="G102" s="60" t="s">
        <v>2137</v>
      </c>
      <c r="H102" s="60" t="s">
        <v>2138</v>
      </c>
      <c r="I102" s="76" t="s">
        <v>2139</v>
      </c>
      <c r="J102" s="60" t="s">
        <v>2140</v>
      </c>
      <c r="K102" s="60" t="s">
        <v>2141</v>
      </c>
      <c r="L102" s="60" t="s">
        <v>2142</v>
      </c>
      <c r="M102" s="60" t="s">
        <v>2143</v>
      </c>
      <c r="N102" s="60"/>
      <c r="O102" s="60" t="s">
        <v>2144</v>
      </c>
      <c r="P102" s="60" t="s">
        <v>2145</v>
      </c>
      <c r="Q102" s="60" t="s">
        <v>2146</v>
      </c>
      <c r="R102" s="60" t="s">
        <v>2147</v>
      </c>
      <c r="S102" s="60" t="s">
        <v>2148</v>
      </c>
      <c r="T102" s="60" t="s">
        <v>2149</v>
      </c>
      <c r="U102" s="60" t="s">
        <v>2150</v>
      </c>
      <c r="V102" s="61" t="s">
        <v>2151</v>
      </c>
      <c r="W102" s="60" t="s">
        <v>2152</v>
      </c>
      <c r="X102" s="60" t="s">
        <v>2153</v>
      </c>
      <c r="Y102" s="60" t="s">
        <v>2154</v>
      </c>
      <c r="Z102" s="60" t="s">
        <v>2155</v>
      </c>
      <c r="AA102" s="60" t="s">
        <v>2156</v>
      </c>
      <c r="AB102" s="62" t="s">
        <v>2136</v>
      </c>
      <c r="AC102" s="39" t="s">
        <v>2157</v>
      </c>
    </row>
    <row r="103" spans="1:29" x14ac:dyDescent="0.3">
      <c r="A103" s="70" t="s">
        <v>2158</v>
      </c>
      <c r="B103" s="50" t="str">
        <f t="shared" si="8"/>
        <v>Farkassügér</v>
      </c>
      <c r="C103" s="50" t="str">
        <f t="shared" si="9"/>
        <v>Farkassügér (spp. from families e.g. Serranidae, Moronidae) [A38]</v>
      </c>
      <c r="D103" s="59" t="s">
        <v>2159</v>
      </c>
      <c r="E103" s="60" t="s">
        <v>2160</v>
      </c>
      <c r="F103" s="61" t="s">
        <v>2161</v>
      </c>
      <c r="G103" s="60" t="s">
        <v>2162</v>
      </c>
      <c r="H103" s="60" t="s">
        <v>2163</v>
      </c>
      <c r="I103" s="76" t="s">
        <v>2164</v>
      </c>
      <c r="J103" s="60" t="s">
        <v>2165</v>
      </c>
      <c r="K103" s="60" t="s">
        <v>2166</v>
      </c>
      <c r="L103" s="60" t="s">
        <v>2167</v>
      </c>
      <c r="M103" s="60" t="s">
        <v>2168</v>
      </c>
      <c r="N103" s="60"/>
      <c r="O103" s="60" t="s">
        <v>2169</v>
      </c>
      <c r="P103" s="60" t="s">
        <v>2170</v>
      </c>
      <c r="Q103" s="60" t="s">
        <v>2171</v>
      </c>
      <c r="R103" s="60" t="s">
        <v>2172</v>
      </c>
      <c r="S103" s="60" t="s">
        <v>2173</v>
      </c>
      <c r="T103" s="60" t="s">
        <v>2174</v>
      </c>
      <c r="U103" s="60" t="s">
        <v>2175</v>
      </c>
      <c r="V103" s="61" t="s">
        <v>2176</v>
      </c>
      <c r="W103" s="60" t="s">
        <v>2177</v>
      </c>
      <c r="X103" s="60" t="s">
        <v>2178</v>
      </c>
      <c r="Y103" s="60" t="s">
        <v>2179</v>
      </c>
      <c r="Z103" s="60" t="s">
        <v>2180</v>
      </c>
      <c r="AA103" s="60" t="s">
        <v>2181</v>
      </c>
      <c r="AB103" s="62" t="s">
        <v>2182</v>
      </c>
      <c r="AC103" s="39" t="s">
        <v>2183</v>
      </c>
    </row>
    <row r="104" spans="1:29" x14ac:dyDescent="0.3">
      <c r="A104" s="70" t="s">
        <v>2184</v>
      </c>
      <c r="B104" s="50" t="str">
        <f t="shared" si="8"/>
        <v>Lazac, pisztráng, szajbling- és pérfajok</v>
      </c>
      <c r="C104" s="50" t="str">
        <f t="shared" si="9"/>
        <v>Lazac, pisztráng, szajbling- és pérfajok (Salmonidae) [A39]</v>
      </c>
      <c r="D104" s="59" t="s">
        <v>2185</v>
      </c>
      <c r="E104" s="60" t="s">
        <v>2186</v>
      </c>
      <c r="F104" s="61" t="s">
        <v>2187</v>
      </c>
      <c r="G104" s="60" t="s">
        <v>2188</v>
      </c>
      <c r="H104" s="60" t="s">
        <v>2189</v>
      </c>
      <c r="I104" s="76" t="s">
        <v>2190</v>
      </c>
      <c r="J104" s="60" t="s">
        <v>2191</v>
      </c>
      <c r="K104" s="60" t="s">
        <v>2192</v>
      </c>
      <c r="L104" s="60" t="s">
        <v>2193</v>
      </c>
      <c r="M104" s="60" t="s">
        <v>2194</v>
      </c>
      <c r="N104" s="60"/>
      <c r="O104" s="60" t="s">
        <v>2195</v>
      </c>
      <c r="P104" s="60" t="s">
        <v>2196</v>
      </c>
      <c r="Q104" s="60" t="s">
        <v>2197</v>
      </c>
      <c r="R104" s="60" t="s">
        <v>2198</v>
      </c>
      <c r="S104" s="60" t="s">
        <v>2199</v>
      </c>
      <c r="T104" s="60" t="s">
        <v>2200</v>
      </c>
      <c r="U104" s="60" t="s">
        <v>2201</v>
      </c>
      <c r="V104" s="61" t="s">
        <v>2202</v>
      </c>
      <c r="W104" s="60" t="s">
        <v>2203</v>
      </c>
      <c r="X104" s="60" t="s">
        <v>2204</v>
      </c>
      <c r="Y104" s="60" t="s">
        <v>2205</v>
      </c>
      <c r="Z104" s="60" t="s">
        <v>2206</v>
      </c>
      <c r="AA104" s="60" t="s">
        <v>2207</v>
      </c>
      <c r="AB104" s="62" t="s">
        <v>2208</v>
      </c>
      <c r="AC104" s="39" t="s">
        <v>2209</v>
      </c>
    </row>
    <row r="105" spans="1:29" x14ac:dyDescent="0.3">
      <c r="A105" s="70" t="s">
        <v>2210</v>
      </c>
      <c r="B105" s="50" t="str">
        <f t="shared" si="8"/>
        <v>Guppi, kardfarkú hal, molli és platti</v>
      </c>
      <c r="C105" s="50" t="str">
        <f t="shared" si="9"/>
        <v>Guppi, kardfarkú hal, molli és platti (Poeciliidae) [A40]</v>
      </c>
      <c r="D105" s="59" t="s">
        <v>2211</v>
      </c>
      <c r="E105" s="60" t="s">
        <v>2212</v>
      </c>
      <c r="F105" s="61" t="s">
        <v>2213</v>
      </c>
      <c r="G105" s="60" t="s">
        <v>2214</v>
      </c>
      <c r="H105" s="60" t="s">
        <v>2215</v>
      </c>
      <c r="I105" s="76" t="s">
        <v>2216</v>
      </c>
      <c r="J105" s="60" t="s">
        <v>2217</v>
      </c>
      <c r="K105" s="60" t="s">
        <v>2218</v>
      </c>
      <c r="L105" s="60" t="s">
        <v>2219</v>
      </c>
      <c r="M105" s="60" t="s">
        <v>2220</v>
      </c>
      <c r="N105" s="60"/>
      <c r="O105" s="60" t="s">
        <v>2221</v>
      </c>
      <c r="P105" s="60" t="s">
        <v>2222</v>
      </c>
      <c r="Q105" s="60" t="s">
        <v>2223</v>
      </c>
      <c r="R105" s="60" t="s">
        <v>2224</v>
      </c>
      <c r="S105" s="60" t="s">
        <v>2225</v>
      </c>
      <c r="T105" s="60" t="s">
        <v>2216</v>
      </c>
      <c r="U105" s="60" t="s">
        <v>2226</v>
      </c>
      <c r="V105" s="61" t="s">
        <v>2227</v>
      </c>
      <c r="W105" s="78" t="s">
        <v>2228</v>
      </c>
      <c r="X105" s="60" t="s">
        <v>2229</v>
      </c>
      <c r="Y105" s="60" t="s">
        <v>2230</v>
      </c>
      <c r="Z105" s="60" t="s">
        <v>2231</v>
      </c>
      <c r="AA105" s="60" t="s">
        <v>2232</v>
      </c>
      <c r="AB105" s="62" t="s">
        <v>2233</v>
      </c>
      <c r="AC105" s="39" t="s">
        <v>2234</v>
      </c>
    </row>
    <row r="106" spans="1:29" x14ac:dyDescent="0.3">
      <c r="A106" s="39" t="s">
        <v>2235</v>
      </c>
      <c r="B106" s="50" t="str">
        <f t="shared" si="8"/>
        <v>Egyéb halak</v>
      </c>
      <c r="C106" s="50" t="str">
        <f t="shared" si="9"/>
        <v>Egyéb halak (other Pisces) [A35]</v>
      </c>
      <c r="D106" s="59" t="s">
        <v>2236</v>
      </c>
      <c r="E106" s="60" t="s">
        <v>2237</v>
      </c>
      <c r="F106" s="61" t="s">
        <v>2238</v>
      </c>
      <c r="G106" s="60" t="s">
        <v>2239</v>
      </c>
      <c r="H106" s="60" t="s">
        <v>2240</v>
      </c>
      <c r="I106" s="76" t="s">
        <v>2241</v>
      </c>
      <c r="J106" s="60" t="s">
        <v>2242</v>
      </c>
      <c r="K106" s="60" t="s">
        <v>2243</v>
      </c>
      <c r="L106" s="60" t="s">
        <v>2244</v>
      </c>
      <c r="M106" s="60" t="s">
        <v>2245</v>
      </c>
      <c r="N106" s="60"/>
      <c r="O106" s="60" t="s">
        <v>2246</v>
      </c>
      <c r="P106" s="60" t="s">
        <v>2247</v>
      </c>
      <c r="Q106" s="60" t="s">
        <v>2248</v>
      </c>
      <c r="R106" s="60" t="s">
        <v>2249</v>
      </c>
      <c r="S106" s="60" t="s">
        <v>2250</v>
      </c>
      <c r="T106" s="60" t="s">
        <v>2251</v>
      </c>
      <c r="U106" s="60" t="s">
        <v>2252</v>
      </c>
      <c r="V106" s="61" t="s">
        <v>2253</v>
      </c>
      <c r="W106" s="60" t="s">
        <v>2254</v>
      </c>
      <c r="X106" s="60" t="s">
        <v>2255</v>
      </c>
      <c r="Y106" s="60" t="s">
        <v>2256</v>
      </c>
      <c r="Z106" s="60" t="s">
        <v>2246</v>
      </c>
      <c r="AA106" s="60" t="s">
        <v>2257</v>
      </c>
      <c r="AB106" s="62" t="s">
        <v>2258</v>
      </c>
      <c r="AC106" s="39" t="s">
        <v>2259</v>
      </c>
    </row>
    <row r="107" spans="1:29" x14ac:dyDescent="0.3">
      <c r="A107" s="39" t="s">
        <v>2260</v>
      </c>
      <c r="B107" s="50" t="str">
        <f t="shared" si="8"/>
        <v xml:space="preserve">Lábasfejűek </v>
      </c>
      <c r="C107" s="50" t="str">
        <f t="shared" si="9"/>
        <v>Lábasfejűek  (Cephalopoda) [A36]</v>
      </c>
      <c r="D107" s="59" t="s">
        <v>2261</v>
      </c>
      <c r="E107" s="60" t="s">
        <v>2262</v>
      </c>
      <c r="F107" s="61" t="s">
        <v>2263</v>
      </c>
      <c r="G107" s="60" t="s">
        <v>2264</v>
      </c>
      <c r="H107" s="60" t="s">
        <v>2265</v>
      </c>
      <c r="I107" s="76" t="s">
        <v>2266</v>
      </c>
      <c r="J107" s="60" t="s">
        <v>2267</v>
      </c>
      <c r="K107" s="60" t="s">
        <v>2268</v>
      </c>
      <c r="L107" s="60" t="s">
        <v>2269</v>
      </c>
      <c r="M107" s="60" t="s">
        <v>2270</v>
      </c>
      <c r="N107" s="60"/>
      <c r="O107" s="60" t="s">
        <v>2271</v>
      </c>
      <c r="P107" s="60" t="s">
        <v>2272</v>
      </c>
      <c r="Q107" s="60" t="s">
        <v>2273</v>
      </c>
      <c r="R107" s="60" t="s">
        <v>2274</v>
      </c>
      <c r="S107" s="60" t="s">
        <v>2275</v>
      </c>
      <c r="T107" s="60" t="s">
        <v>2276</v>
      </c>
      <c r="U107" s="60" t="s">
        <v>2277</v>
      </c>
      <c r="V107" s="61" t="s">
        <v>2278</v>
      </c>
      <c r="W107" s="60" t="s">
        <v>2279</v>
      </c>
      <c r="X107" s="60" t="s">
        <v>2280</v>
      </c>
      <c r="Y107" s="60" t="s">
        <v>2281</v>
      </c>
      <c r="Z107" s="60" t="s">
        <v>2282</v>
      </c>
      <c r="AA107" s="60" t="s">
        <v>2283</v>
      </c>
      <c r="AB107" s="62" t="s">
        <v>2284</v>
      </c>
      <c r="AC107" s="39" t="s">
        <v>2285</v>
      </c>
    </row>
    <row r="108" spans="1:29" x14ac:dyDescent="0.3">
      <c r="A108" s="70" t="s">
        <v>2286</v>
      </c>
      <c r="B108" s="50" t="str">
        <f t="shared" si="8"/>
        <v>nem meghatározott emlős</v>
      </c>
      <c r="C108" s="50" t="str">
        <f>CONCATENATE(B108," [",A108,"]")</f>
        <v>nem meghatározott emlős [A99]</v>
      </c>
      <c r="D108" s="64" t="s">
        <v>2287</v>
      </c>
      <c r="E108" s="65" t="s">
        <v>2288</v>
      </c>
      <c r="F108" s="66" t="s">
        <v>2289</v>
      </c>
      <c r="G108" s="65" t="s">
        <v>2290</v>
      </c>
      <c r="H108" s="65" t="s">
        <v>2291</v>
      </c>
      <c r="I108" s="67" t="s">
        <v>2292</v>
      </c>
      <c r="J108" s="65" t="s">
        <v>2293</v>
      </c>
      <c r="K108" s="65" t="s">
        <v>2294</v>
      </c>
      <c r="L108" s="65" t="s">
        <v>2295</v>
      </c>
      <c r="M108" s="65" t="s">
        <v>2296</v>
      </c>
      <c r="N108" s="65"/>
      <c r="O108" s="65" t="s">
        <v>2297</v>
      </c>
      <c r="P108" s="65" t="s">
        <v>2298</v>
      </c>
      <c r="Q108" s="65" t="s">
        <v>2299</v>
      </c>
      <c r="R108" s="65" t="s">
        <v>2300</v>
      </c>
      <c r="S108" s="65" t="s">
        <v>2301</v>
      </c>
      <c r="T108" s="65" t="s">
        <v>2302</v>
      </c>
      <c r="U108" s="65" t="s">
        <v>2303</v>
      </c>
      <c r="V108" s="66" t="s">
        <v>2304</v>
      </c>
      <c r="W108" s="65" t="s">
        <v>2305</v>
      </c>
      <c r="X108" s="65" t="s">
        <v>2306</v>
      </c>
      <c r="Y108" s="65" t="s">
        <v>2307</v>
      </c>
      <c r="Z108" s="65" t="s">
        <v>2308</v>
      </c>
      <c r="AA108" s="65" t="s">
        <v>2309</v>
      </c>
      <c r="AB108" s="68" t="s">
        <v>2310</v>
      </c>
    </row>
    <row r="110" spans="1:29" x14ac:dyDescent="0.3">
      <c r="A110" s="51" t="s">
        <v>2311</v>
      </c>
      <c r="B110" s="51" t="s">
        <v>2312</v>
      </c>
      <c r="D110" s="56" t="str">
        <f t="shared" ref="D110:AB110" si="10">languages</f>
        <v>bg</v>
      </c>
      <c r="E110" s="57" t="str">
        <f t="shared" si="10"/>
        <v>cs</v>
      </c>
      <c r="F110" s="57" t="str">
        <f t="shared" si="10"/>
        <v>da</v>
      </c>
      <c r="G110" s="57" t="str">
        <f t="shared" si="10"/>
        <v>de</v>
      </c>
      <c r="H110" s="57" t="str">
        <f t="shared" si="10"/>
        <v>el</v>
      </c>
      <c r="I110" s="57" t="str">
        <f t="shared" si="10"/>
        <v>en</v>
      </c>
      <c r="J110" s="57" t="str">
        <f t="shared" si="10"/>
        <v>es</v>
      </c>
      <c r="K110" s="57" t="str">
        <f t="shared" si="10"/>
        <v>et</v>
      </c>
      <c r="L110" s="57" t="str">
        <f t="shared" si="10"/>
        <v>fi</v>
      </c>
      <c r="M110" s="57" t="str">
        <f t="shared" si="10"/>
        <v>fr</v>
      </c>
      <c r="N110" s="57" t="str">
        <f t="shared" si="10"/>
        <v>ga</v>
      </c>
      <c r="O110" s="57" t="str">
        <f t="shared" si="10"/>
        <v>hr</v>
      </c>
      <c r="P110" s="57" t="str">
        <f t="shared" si="10"/>
        <v>hu</v>
      </c>
      <c r="Q110" s="57" t="str">
        <f t="shared" si="10"/>
        <v>it</v>
      </c>
      <c r="R110" s="57" t="str">
        <f t="shared" si="10"/>
        <v>lt</v>
      </c>
      <c r="S110" s="57" t="str">
        <f t="shared" si="10"/>
        <v>lv</v>
      </c>
      <c r="T110" s="57" t="str">
        <f t="shared" si="10"/>
        <v>mt</v>
      </c>
      <c r="U110" s="57" t="str">
        <f t="shared" si="10"/>
        <v>nl</v>
      </c>
      <c r="V110" s="57" t="str">
        <f t="shared" si="10"/>
        <v>pl</v>
      </c>
      <c r="W110" s="57" t="str">
        <f t="shared" si="10"/>
        <v>pt</v>
      </c>
      <c r="X110" s="57" t="str">
        <f t="shared" si="10"/>
        <v>ro</v>
      </c>
      <c r="Y110" s="57" t="str">
        <f t="shared" si="10"/>
        <v>sk</v>
      </c>
      <c r="Z110" s="57" t="str">
        <f t="shared" si="10"/>
        <v>sl</v>
      </c>
      <c r="AA110" s="57" t="str">
        <f t="shared" si="10"/>
        <v>sv</v>
      </c>
      <c r="AB110" s="58" t="str">
        <f t="shared" si="10"/>
        <v>no</v>
      </c>
    </row>
    <row r="111" spans="1:29" x14ac:dyDescent="0.3">
      <c r="A111" s="39" t="s">
        <v>2313</v>
      </c>
      <c r="B111" s="39" t="str">
        <f t="shared" ref="B111:B142" si="11">IF(TRIM(HLOOKUP(language_or_default,textTranslations,MATCH(A111,text,0),0))="",HLOOKUP("en",textTranslations,MATCH(A111,text,0),0),HLOOKUP(language_or_default,textTranslations,MATCH(A111,text,0),0))</f>
        <v>Ország</v>
      </c>
      <c r="D111" s="59" t="s">
        <v>2314</v>
      </c>
      <c r="E111" s="60" t="s">
        <v>2315</v>
      </c>
      <c r="F111" s="61" t="s">
        <v>2316</v>
      </c>
      <c r="G111" s="61" t="s">
        <v>2316</v>
      </c>
      <c r="H111" s="60" t="s">
        <v>2317</v>
      </c>
      <c r="I111" s="55" t="s">
        <v>2318</v>
      </c>
      <c r="J111" s="60" t="s">
        <v>2319</v>
      </c>
      <c r="K111" s="60" t="s">
        <v>2320</v>
      </c>
      <c r="L111" s="60" t="s">
        <v>2321</v>
      </c>
      <c r="M111" s="60" t="s">
        <v>2322</v>
      </c>
      <c r="N111" s="60"/>
      <c r="O111" s="60" t="s">
        <v>2323</v>
      </c>
      <c r="P111" s="60" t="s">
        <v>2324</v>
      </c>
      <c r="Q111" s="60" t="s">
        <v>2325</v>
      </c>
      <c r="R111" s="60" t="s">
        <v>2326</v>
      </c>
      <c r="S111" s="60" t="s">
        <v>2327</v>
      </c>
      <c r="T111" s="60" t="s">
        <v>2328</v>
      </c>
      <c r="U111" s="60" t="s">
        <v>2316</v>
      </c>
      <c r="V111" s="61" t="s">
        <v>2329</v>
      </c>
      <c r="W111" s="60" t="s">
        <v>2319</v>
      </c>
      <c r="X111" s="60" t="s">
        <v>2330</v>
      </c>
      <c r="Y111" s="60" t="s">
        <v>2331</v>
      </c>
      <c r="Z111" s="60" t="s">
        <v>2323</v>
      </c>
      <c r="AA111" s="60" t="s">
        <v>2316</v>
      </c>
      <c r="AB111" s="62" t="s">
        <v>2316</v>
      </c>
    </row>
    <row r="112" spans="1:29" x14ac:dyDescent="0.3">
      <c r="A112" s="39" t="s">
        <v>2332</v>
      </c>
      <c r="B112" s="39" t="str">
        <f t="shared" si="11"/>
        <v>Nyelv</v>
      </c>
      <c r="D112" s="59" t="s">
        <v>2333</v>
      </c>
      <c r="E112" s="60" t="s">
        <v>2334</v>
      </c>
      <c r="F112" s="61" t="s">
        <v>2335</v>
      </c>
      <c r="G112" s="61" t="s">
        <v>2336</v>
      </c>
      <c r="H112" s="60" t="s">
        <v>2337</v>
      </c>
      <c r="I112" s="77" t="s">
        <v>2338</v>
      </c>
      <c r="J112" s="60" t="s">
        <v>2339</v>
      </c>
      <c r="K112" s="60" t="s">
        <v>2340</v>
      </c>
      <c r="L112" s="60" t="s">
        <v>2341</v>
      </c>
      <c r="M112" s="60" t="s">
        <v>2342</v>
      </c>
      <c r="N112" s="60"/>
      <c r="O112" s="60" t="s">
        <v>2343</v>
      </c>
      <c r="P112" s="60" t="s">
        <v>2344</v>
      </c>
      <c r="Q112" s="60" t="s">
        <v>2345</v>
      </c>
      <c r="R112" s="60" t="s">
        <v>2346</v>
      </c>
      <c r="S112" s="60" t="s">
        <v>2347</v>
      </c>
      <c r="T112" s="60" t="s">
        <v>2348</v>
      </c>
      <c r="U112" s="60" t="s">
        <v>2349</v>
      </c>
      <c r="V112" s="61" t="s">
        <v>2350</v>
      </c>
      <c r="W112" s="60" t="s">
        <v>2351</v>
      </c>
      <c r="X112" s="60" t="s">
        <v>2352</v>
      </c>
      <c r="Y112" s="60" t="s">
        <v>2334</v>
      </c>
      <c r="Z112" s="60" t="s">
        <v>2343</v>
      </c>
      <c r="AA112" s="60" t="s">
        <v>2353</v>
      </c>
      <c r="AB112" s="62" t="s">
        <v>2353</v>
      </c>
    </row>
    <row r="113" spans="1:28" x14ac:dyDescent="0.3">
      <c r="A113" s="39" t="s">
        <v>2354</v>
      </c>
      <c r="B113" s="39" t="str">
        <f t="shared" si="11"/>
        <v>Uniós célú benyújtás</v>
      </c>
      <c r="D113" s="59" t="s">
        <v>2355</v>
      </c>
      <c r="E113" s="60" t="s">
        <v>2356</v>
      </c>
      <c r="F113" s="61" t="s">
        <v>2357</v>
      </c>
      <c r="G113" s="61" t="s">
        <v>2358</v>
      </c>
      <c r="H113" s="60" t="s">
        <v>2359</v>
      </c>
      <c r="I113" s="77" t="s">
        <v>2360</v>
      </c>
      <c r="J113" s="60" t="s">
        <v>2361</v>
      </c>
      <c r="K113" s="60" t="s">
        <v>2362</v>
      </c>
      <c r="L113" s="60" t="s">
        <v>2363</v>
      </c>
      <c r="M113" s="60" t="s">
        <v>2364</v>
      </c>
      <c r="N113" s="60"/>
      <c r="O113" s="60" t="s">
        <v>2365</v>
      </c>
      <c r="P113" s="60" t="s">
        <v>2366</v>
      </c>
      <c r="Q113" s="60" t="s">
        <v>2367</v>
      </c>
      <c r="R113" s="60" t="s">
        <v>2368</v>
      </c>
      <c r="S113" s="60" t="s">
        <v>2369</v>
      </c>
      <c r="T113" s="60" t="s">
        <v>2370</v>
      </c>
      <c r="U113" s="60" t="s">
        <v>2371</v>
      </c>
      <c r="V113" s="61" t="s">
        <v>2372</v>
      </c>
      <c r="W113" s="60" t="s">
        <v>2373</v>
      </c>
      <c r="X113" s="60" t="s">
        <v>2374</v>
      </c>
      <c r="Y113" s="60" t="s">
        <v>2375</v>
      </c>
      <c r="Z113" s="60" t="s">
        <v>2376</v>
      </c>
      <c r="AA113" s="60" t="s">
        <v>2377</v>
      </c>
      <c r="AB113" s="62" t="s">
        <v>2378</v>
      </c>
    </row>
    <row r="114" spans="1:28" x14ac:dyDescent="0.3">
      <c r="A114" s="79" t="s">
        <v>2379</v>
      </c>
      <c r="B114" s="39" t="str">
        <f t="shared" si="11"/>
        <v>A projekt címe</v>
      </c>
      <c r="D114" s="59" t="s">
        <v>2380</v>
      </c>
      <c r="E114" s="60" t="s">
        <v>2381</v>
      </c>
      <c r="F114" s="61" t="s">
        <v>2382</v>
      </c>
      <c r="G114" s="61" t="s">
        <v>2383</v>
      </c>
      <c r="H114" s="60" t="s">
        <v>2384</v>
      </c>
      <c r="I114" s="77" t="s">
        <v>2385</v>
      </c>
      <c r="J114" s="60" t="s">
        <v>2386</v>
      </c>
      <c r="K114" s="60" t="s">
        <v>2387</v>
      </c>
      <c r="L114" s="60" t="s">
        <v>2388</v>
      </c>
      <c r="M114" s="60" t="s">
        <v>2389</v>
      </c>
      <c r="N114" s="60"/>
      <c r="O114" s="60" t="s">
        <v>2390</v>
      </c>
      <c r="P114" s="60" t="s">
        <v>2391</v>
      </c>
      <c r="Q114" s="60" t="s">
        <v>2392</v>
      </c>
      <c r="R114" s="60" t="s">
        <v>2393</v>
      </c>
      <c r="S114" s="60" t="s">
        <v>2394</v>
      </c>
      <c r="T114" s="60" t="s">
        <v>2395</v>
      </c>
      <c r="U114" s="60" t="s">
        <v>2396</v>
      </c>
      <c r="V114" s="61" t="s">
        <v>2397</v>
      </c>
      <c r="W114" s="60" t="s">
        <v>2398</v>
      </c>
      <c r="X114" s="60" t="s">
        <v>2399</v>
      </c>
      <c r="Y114" s="60" t="s">
        <v>2400</v>
      </c>
      <c r="Z114" s="60" t="s">
        <v>2390</v>
      </c>
      <c r="AA114" s="60" t="s">
        <v>2401</v>
      </c>
      <c r="AB114" s="62" t="s">
        <v>2402</v>
      </c>
    </row>
    <row r="115" spans="1:28" x14ac:dyDescent="0.3">
      <c r="A115" s="79" t="s">
        <v>2403</v>
      </c>
      <c r="B115" s="39" t="str">
        <f t="shared" si="11"/>
        <v>A projekt időtartama</v>
      </c>
      <c r="D115" s="59" t="s">
        <v>2404</v>
      </c>
      <c r="E115" s="60" t="s">
        <v>2405</v>
      </c>
      <c r="F115" s="61" t="s">
        <v>2406</v>
      </c>
      <c r="G115" s="61" t="s">
        <v>2407</v>
      </c>
      <c r="H115" s="60" t="s">
        <v>2408</v>
      </c>
      <c r="I115" s="77" t="s">
        <v>2409</v>
      </c>
      <c r="J115" s="60" t="s">
        <v>2410</v>
      </c>
      <c r="K115" s="60" t="s">
        <v>2411</v>
      </c>
      <c r="L115" s="60" t="s">
        <v>2412</v>
      </c>
      <c r="M115" s="60" t="s">
        <v>2413</v>
      </c>
      <c r="N115" s="60"/>
      <c r="O115" s="60" t="s">
        <v>2414</v>
      </c>
      <c r="P115" s="60" t="s">
        <v>2415</v>
      </c>
      <c r="Q115" s="60" t="s">
        <v>2416</v>
      </c>
      <c r="R115" s="60" t="s">
        <v>2417</v>
      </c>
      <c r="S115" s="60" t="s">
        <v>2418</v>
      </c>
      <c r="T115" s="60" t="s">
        <v>2419</v>
      </c>
      <c r="U115" s="60" t="s">
        <v>2420</v>
      </c>
      <c r="V115" s="61" t="s">
        <v>2421</v>
      </c>
      <c r="W115" s="60" t="s">
        <v>2422</v>
      </c>
      <c r="X115" s="60" t="s">
        <v>2423</v>
      </c>
      <c r="Y115" s="60" t="s">
        <v>2424</v>
      </c>
      <c r="Z115" s="60" t="s">
        <v>2414</v>
      </c>
      <c r="AA115" s="60" t="s">
        <v>2425</v>
      </c>
      <c r="AB115" s="62" t="s">
        <v>2426</v>
      </c>
    </row>
    <row r="116" spans="1:28" x14ac:dyDescent="0.3">
      <c r="A116" s="79" t="s">
        <v>2427</v>
      </c>
      <c r="B116" s="39" t="str">
        <f t="shared" si="11"/>
        <v>Kulcsszavak</v>
      </c>
      <c r="D116" s="59" t="s">
        <v>2428</v>
      </c>
      <c r="E116" s="60" t="s">
        <v>2429</v>
      </c>
      <c r="F116" s="61" t="s">
        <v>2430</v>
      </c>
      <c r="G116" s="61" t="s">
        <v>2431</v>
      </c>
      <c r="H116" s="60" t="s">
        <v>2432</v>
      </c>
      <c r="I116" s="77" t="s">
        <v>2433</v>
      </c>
      <c r="J116" s="60" t="s">
        <v>2434</v>
      </c>
      <c r="K116" s="60" t="s">
        <v>2435</v>
      </c>
      <c r="L116" s="60" t="s">
        <v>2436</v>
      </c>
      <c r="M116" s="60" t="s">
        <v>2437</v>
      </c>
      <c r="N116" s="60"/>
      <c r="O116" s="60" t="s">
        <v>2438</v>
      </c>
      <c r="P116" s="60" t="s">
        <v>2439</v>
      </c>
      <c r="Q116" s="60" t="s">
        <v>2440</v>
      </c>
      <c r="R116" s="60" t="s">
        <v>2441</v>
      </c>
      <c r="S116" s="60" t="s">
        <v>2442</v>
      </c>
      <c r="T116" s="60" t="s">
        <v>2443</v>
      </c>
      <c r="U116" s="60" t="s">
        <v>2444</v>
      </c>
      <c r="V116" s="61" t="s">
        <v>2445</v>
      </c>
      <c r="W116" s="60" t="s">
        <v>2446</v>
      </c>
      <c r="X116" s="60" t="s">
        <v>2447</v>
      </c>
      <c r="Y116" s="60" t="s">
        <v>2448</v>
      </c>
      <c r="Z116" s="60" t="s">
        <v>2449</v>
      </c>
      <c r="AA116" s="60" t="s">
        <v>2450</v>
      </c>
      <c r="AB116" s="62" t="s">
        <v>2451</v>
      </c>
    </row>
    <row r="117" spans="1:28" x14ac:dyDescent="0.3">
      <c r="A117" s="79" t="s">
        <v>2452</v>
      </c>
      <c r="B117" s="39" t="str">
        <f t="shared" si="11"/>
        <v>Kulcsszó</v>
      </c>
      <c r="D117" s="59" t="s">
        <v>2453</v>
      </c>
      <c r="E117" s="60" t="s">
        <v>2454</v>
      </c>
      <c r="F117" s="61" t="s">
        <v>2430</v>
      </c>
      <c r="G117" s="61" t="s">
        <v>2455</v>
      </c>
      <c r="H117" s="60" t="s">
        <v>2456</v>
      </c>
      <c r="I117" s="77" t="s">
        <v>2457</v>
      </c>
      <c r="J117" s="60" t="s">
        <v>2458</v>
      </c>
      <c r="K117" s="60" t="s">
        <v>2459</v>
      </c>
      <c r="L117" s="60" t="s">
        <v>2460</v>
      </c>
      <c r="M117" s="60" t="s">
        <v>2461</v>
      </c>
      <c r="N117" s="60"/>
      <c r="O117" s="60" t="s">
        <v>2462</v>
      </c>
      <c r="P117" s="60" t="s">
        <v>2463</v>
      </c>
      <c r="Q117" s="60" t="s">
        <v>2464</v>
      </c>
      <c r="R117" s="60" t="s">
        <v>2465</v>
      </c>
      <c r="S117" s="60" t="s">
        <v>2466</v>
      </c>
      <c r="T117" s="60" t="s">
        <v>2467</v>
      </c>
      <c r="U117" s="60" t="s">
        <v>2468</v>
      </c>
      <c r="V117" s="61" t="s">
        <v>2469</v>
      </c>
      <c r="W117" s="60" t="s">
        <v>2470</v>
      </c>
      <c r="X117" s="60" t="s">
        <v>2471</v>
      </c>
      <c r="Y117" s="60" t="s">
        <v>2472</v>
      </c>
      <c r="Z117" s="60" t="s">
        <v>2473</v>
      </c>
      <c r="AA117" s="60" t="s">
        <v>2450</v>
      </c>
      <c r="AB117" s="62" t="s">
        <v>2451</v>
      </c>
    </row>
    <row r="118" spans="1:28" x14ac:dyDescent="0.3">
      <c r="A118" s="79" t="s">
        <v>2474</v>
      </c>
      <c r="B118" s="39" t="str">
        <f t="shared" si="11"/>
        <v>A projekt  célja(i)</v>
      </c>
      <c r="D118" s="59" t="s">
        <v>2475</v>
      </c>
      <c r="E118" s="60" t="s">
        <v>2476</v>
      </c>
      <c r="F118" s="61" t="s">
        <v>2477</v>
      </c>
      <c r="G118" s="61" t="s">
        <v>2478</v>
      </c>
      <c r="H118" s="60" t="s">
        <v>2479</v>
      </c>
      <c r="I118" s="55" t="s">
        <v>2480</v>
      </c>
      <c r="J118" s="60" t="s">
        <v>2481</v>
      </c>
      <c r="K118" s="60" t="s">
        <v>2482</v>
      </c>
      <c r="L118" s="60" t="s">
        <v>2483</v>
      </c>
      <c r="M118" s="60" t="s">
        <v>2484</v>
      </c>
      <c r="N118" s="60"/>
      <c r="O118" s="60" t="s">
        <v>2485</v>
      </c>
      <c r="P118" s="60" t="s">
        <v>2486</v>
      </c>
      <c r="Q118" s="60" t="s">
        <v>2487</v>
      </c>
      <c r="R118" s="60" t="s">
        <v>2488</v>
      </c>
      <c r="S118" s="60" t="s">
        <v>2489</v>
      </c>
      <c r="T118" s="60" t="s">
        <v>2490</v>
      </c>
      <c r="U118" s="60" t="s">
        <v>2491</v>
      </c>
      <c r="V118" s="61" t="s">
        <v>2492</v>
      </c>
      <c r="W118" s="60" t="s">
        <v>2493</v>
      </c>
      <c r="X118" s="60" t="s">
        <v>2494</v>
      </c>
      <c r="Y118" s="60" t="s">
        <v>2495</v>
      </c>
      <c r="Z118" s="60" t="s">
        <v>2496</v>
      </c>
      <c r="AA118" s="60" t="s">
        <v>2497</v>
      </c>
      <c r="AB118" s="62" t="s">
        <v>2498</v>
      </c>
    </row>
    <row r="119" spans="1:28" x14ac:dyDescent="0.3">
      <c r="A119" s="79" t="s">
        <v>2499</v>
      </c>
      <c r="B119" s="39" t="str">
        <f t="shared" si="11"/>
        <v>Alapkutatás</v>
      </c>
      <c r="D119" s="59" t="s">
        <v>82</v>
      </c>
      <c r="E119" s="60" t="s">
        <v>83</v>
      </c>
      <c r="F119" s="61" t="s">
        <v>84</v>
      </c>
      <c r="G119" s="61" t="s">
        <v>85</v>
      </c>
      <c r="H119" s="60" t="s">
        <v>86</v>
      </c>
      <c r="I119" s="55" t="s">
        <v>87</v>
      </c>
      <c r="J119" s="60" t="s">
        <v>88</v>
      </c>
      <c r="K119" s="60" t="s">
        <v>89</v>
      </c>
      <c r="L119" s="60" t="s">
        <v>90</v>
      </c>
      <c r="M119" s="60" t="s">
        <v>91</v>
      </c>
      <c r="N119" s="60"/>
      <c r="O119" s="60" t="s">
        <v>92</v>
      </c>
      <c r="P119" s="60" t="s">
        <v>93</v>
      </c>
      <c r="Q119" s="60" t="s">
        <v>94</v>
      </c>
      <c r="R119" s="60" t="s">
        <v>95</v>
      </c>
      <c r="S119" s="60" t="s">
        <v>96</v>
      </c>
      <c r="T119" s="60" t="s">
        <v>97</v>
      </c>
      <c r="U119" s="60" t="s">
        <v>98</v>
      </c>
      <c r="V119" s="61" t="s">
        <v>99</v>
      </c>
      <c r="W119" s="60" t="s">
        <v>100</v>
      </c>
      <c r="X119" s="60" t="s">
        <v>101</v>
      </c>
      <c r="Y119" s="60" t="s">
        <v>102</v>
      </c>
      <c r="Z119" s="60" t="s">
        <v>103</v>
      </c>
      <c r="AA119" s="60" t="s">
        <v>84</v>
      </c>
      <c r="AB119" s="62" t="s">
        <v>104</v>
      </c>
    </row>
    <row r="120" spans="1:28" x14ac:dyDescent="0.3">
      <c r="A120" s="79" t="s">
        <v>2500</v>
      </c>
      <c r="B120" s="39" t="str">
        <f t="shared" si="11"/>
        <v>Transzlációs és alkalmazott kutatás</v>
      </c>
      <c r="D120" s="59" t="s">
        <v>106</v>
      </c>
      <c r="E120" s="60" t="s">
        <v>107</v>
      </c>
      <c r="F120" s="61" t="s">
        <v>108</v>
      </c>
      <c r="G120" s="61" t="s">
        <v>109</v>
      </c>
      <c r="H120" s="60" t="s">
        <v>110</v>
      </c>
      <c r="I120" s="55" t="s">
        <v>111</v>
      </c>
      <c r="J120" s="60" t="s">
        <v>112</v>
      </c>
      <c r="K120" s="60" t="s">
        <v>113</v>
      </c>
      <c r="L120" s="60" t="s">
        <v>114</v>
      </c>
      <c r="M120" s="60" t="s">
        <v>115</v>
      </c>
      <c r="N120" s="60"/>
      <c r="O120" s="60" t="s">
        <v>116</v>
      </c>
      <c r="P120" s="60" t="s">
        <v>117</v>
      </c>
      <c r="Q120" s="60" t="s">
        <v>118</v>
      </c>
      <c r="R120" s="60" t="s">
        <v>119</v>
      </c>
      <c r="S120" s="60" t="s">
        <v>120</v>
      </c>
      <c r="T120" s="60" t="s">
        <v>121</v>
      </c>
      <c r="U120" s="60" t="s">
        <v>122</v>
      </c>
      <c r="V120" s="61" t="s">
        <v>123</v>
      </c>
      <c r="W120" s="60" t="s">
        <v>124</v>
      </c>
      <c r="X120" s="60" t="s">
        <v>125</v>
      </c>
      <c r="Y120" s="60" t="s">
        <v>126</v>
      </c>
      <c r="Z120" s="60" t="s">
        <v>127</v>
      </c>
      <c r="AA120" s="60" t="s">
        <v>128</v>
      </c>
      <c r="AB120" s="62" t="s">
        <v>129</v>
      </c>
    </row>
    <row r="121" spans="1:28" x14ac:dyDescent="0.3">
      <c r="A121" s="79" t="s">
        <v>2501</v>
      </c>
      <c r="B121" s="39" t="str">
        <f t="shared" si="11"/>
        <v>Hatósági vizsgálatok: Minőség-ellenőrzés (ideértve a gyártási tételek ártalmatlansági és hatáserősségi vizsgálatát)</v>
      </c>
      <c r="D121" s="59" t="s">
        <v>2502</v>
      </c>
      <c r="E121" s="60" t="s">
        <v>2503</v>
      </c>
      <c r="F121" s="61" t="s">
        <v>2504</v>
      </c>
      <c r="G121" s="61" t="s">
        <v>2505</v>
      </c>
      <c r="H121" s="60" t="s">
        <v>2506</v>
      </c>
      <c r="I121" s="55" t="s">
        <v>2507</v>
      </c>
      <c r="J121" s="60" t="s">
        <v>2508</v>
      </c>
      <c r="K121" s="60" t="s">
        <v>2509</v>
      </c>
      <c r="L121" s="60" t="s">
        <v>2510</v>
      </c>
      <c r="M121" s="60" t="s">
        <v>2511</v>
      </c>
      <c r="N121" s="60"/>
      <c r="O121" s="60" t="s">
        <v>2512</v>
      </c>
      <c r="P121" s="60" t="s">
        <v>2513</v>
      </c>
      <c r="Q121" s="60" t="s">
        <v>2514</v>
      </c>
      <c r="R121" s="60" t="s">
        <v>2515</v>
      </c>
      <c r="S121" s="60" t="s">
        <v>2516</v>
      </c>
      <c r="T121" s="60" t="s">
        <v>2517</v>
      </c>
      <c r="U121" s="60" t="s">
        <v>2518</v>
      </c>
      <c r="V121" s="61" t="s">
        <v>2519</v>
      </c>
      <c r="W121" s="60" t="s">
        <v>2520</v>
      </c>
      <c r="X121" s="60" t="s">
        <v>2521</v>
      </c>
      <c r="Y121" s="60" t="s">
        <v>2522</v>
      </c>
      <c r="Z121" s="60" t="s">
        <v>2523</v>
      </c>
      <c r="AA121" s="60" t="s">
        <v>2524</v>
      </c>
      <c r="AB121" s="62" t="s">
        <v>2525</v>
      </c>
    </row>
    <row r="122" spans="1:28" x14ac:dyDescent="0.3">
      <c r="A122" s="79" t="s">
        <v>2526</v>
      </c>
      <c r="B122" s="39" t="str">
        <f t="shared" si="11"/>
        <v>Hatósági vizsgálatok: Egyéb hatékonysági és toleranciavizsgálatok</v>
      </c>
      <c r="D122" s="59" t="s">
        <v>2527</v>
      </c>
      <c r="E122" s="60" t="s">
        <v>2528</v>
      </c>
      <c r="F122" s="61" t="s">
        <v>2529</v>
      </c>
      <c r="G122" s="61" t="s">
        <v>2530</v>
      </c>
      <c r="H122" s="60" t="s">
        <v>2531</v>
      </c>
      <c r="I122" s="55" t="s">
        <v>2532</v>
      </c>
      <c r="J122" s="60" t="s">
        <v>2533</v>
      </c>
      <c r="K122" s="60" t="s">
        <v>2534</v>
      </c>
      <c r="L122" s="60" t="s">
        <v>2535</v>
      </c>
      <c r="M122" s="60" t="s">
        <v>2536</v>
      </c>
      <c r="N122" s="60"/>
      <c r="O122" s="60" t="s">
        <v>2537</v>
      </c>
      <c r="P122" s="60" t="s">
        <v>2538</v>
      </c>
      <c r="Q122" s="60" t="s">
        <v>2539</v>
      </c>
      <c r="R122" s="60" t="s">
        <v>2540</v>
      </c>
      <c r="S122" s="60" t="s">
        <v>2541</v>
      </c>
      <c r="T122" s="60" t="s">
        <v>2542</v>
      </c>
      <c r="U122" s="60" t="s">
        <v>2543</v>
      </c>
      <c r="V122" s="61" t="s">
        <v>2544</v>
      </c>
      <c r="W122" s="60" t="s">
        <v>2545</v>
      </c>
      <c r="X122" s="60" t="s">
        <v>2546</v>
      </c>
      <c r="Y122" s="60" t="s">
        <v>2547</v>
      </c>
      <c r="Z122" s="60" t="s">
        <v>2548</v>
      </c>
      <c r="AA122" s="60" t="s">
        <v>2549</v>
      </c>
      <c r="AB122" s="62" t="s">
        <v>2550</v>
      </c>
    </row>
    <row r="123" spans="1:28" x14ac:dyDescent="0.3">
      <c r="A123" s="79" t="s">
        <v>2551</v>
      </c>
      <c r="B123" s="39" t="str">
        <f t="shared" si="11"/>
        <v>Hatósági vizsgálatok: Toxicitási és egyéb biztonsági vizsgálatok, ideértve a farmakológiát is</v>
      </c>
      <c r="D123" s="59" t="s">
        <v>2552</v>
      </c>
      <c r="E123" s="60" t="s">
        <v>2553</v>
      </c>
      <c r="F123" s="61" t="s">
        <v>2554</v>
      </c>
      <c r="G123" s="61" t="s">
        <v>2555</v>
      </c>
      <c r="H123" s="60" t="s">
        <v>2556</v>
      </c>
      <c r="I123" s="55" t="s">
        <v>2557</v>
      </c>
      <c r="J123" s="60" t="s">
        <v>2558</v>
      </c>
      <c r="K123" s="60" t="s">
        <v>2559</v>
      </c>
      <c r="L123" s="60" t="s">
        <v>2560</v>
      </c>
      <c r="M123" s="60" t="s">
        <v>2561</v>
      </c>
      <c r="N123" s="60"/>
      <c r="O123" s="60" t="s">
        <v>2562</v>
      </c>
      <c r="P123" s="60" t="s">
        <v>2563</v>
      </c>
      <c r="Q123" s="60" t="s">
        <v>2564</v>
      </c>
      <c r="R123" s="60" t="s">
        <v>2565</v>
      </c>
      <c r="S123" s="60" t="s">
        <v>2566</v>
      </c>
      <c r="T123" s="60" t="s">
        <v>2567</v>
      </c>
      <c r="U123" s="60" t="s">
        <v>2568</v>
      </c>
      <c r="V123" s="61" t="s">
        <v>2569</v>
      </c>
      <c r="W123" s="60" t="s">
        <v>2570</v>
      </c>
      <c r="X123" s="60" t="s">
        <v>2571</v>
      </c>
      <c r="Y123" s="60" t="s">
        <v>2572</v>
      </c>
      <c r="Z123" s="60" t="s">
        <v>2573</v>
      </c>
      <c r="AA123" s="60" t="s">
        <v>2574</v>
      </c>
      <c r="AB123" s="62" t="s">
        <v>2575</v>
      </c>
    </row>
    <row r="124" spans="1:28" x14ac:dyDescent="0.3">
      <c r="A124" s="79" t="s">
        <v>2576</v>
      </c>
      <c r="B124" s="39" t="str">
        <f t="shared" si="11"/>
        <v>Rutinszerű gyártás</v>
      </c>
      <c r="D124" s="59" t="s">
        <v>2577</v>
      </c>
      <c r="E124" s="60" t="s">
        <v>2578</v>
      </c>
      <c r="F124" s="61" t="s">
        <v>2579</v>
      </c>
      <c r="G124" s="61" t="s">
        <v>2580</v>
      </c>
      <c r="H124" s="60" t="s">
        <v>2581</v>
      </c>
      <c r="I124" s="55" t="s">
        <v>2582</v>
      </c>
      <c r="J124" s="60" t="s">
        <v>2583</v>
      </c>
      <c r="K124" s="60" t="s">
        <v>2584</v>
      </c>
      <c r="L124" s="60" t="s">
        <v>2585</v>
      </c>
      <c r="M124" s="60" t="s">
        <v>2586</v>
      </c>
      <c r="N124" s="60"/>
      <c r="O124" s="60" t="s">
        <v>2587</v>
      </c>
      <c r="P124" s="60" t="s">
        <v>2588</v>
      </c>
      <c r="Q124" s="60" t="s">
        <v>2589</v>
      </c>
      <c r="R124" s="60" t="s">
        <v>2590</v>
      </c>
      <c r="S124" s="60" t="s">
        <v>2591</v>
      </c>
      <c r="T124" s="60" t="s">
        <v>2592</v>
      </c>
      <c r="U124" s="60" t="s">
        <v>2593</v>
      </c>
      <c r="V124" s="61" t="s">
        <v>2594</v>
      </c>
      <c r="W124" s="60" t="s">
        <v>2595</v>
      </c>
      <c r="X124" s="60" t="s">
        <v>2596</v>
      </c>
      <c r="Y124" s="60" t="s">
        <v>2597</v>
      </c>
      <c r="Z124" s="60" t="s">
        <v>2598</v>
      </c>
      <c r="AA124" s="60" t="s">
        <v>2599</v>
      </c>
      <c r="AB124" s="62" t="s">
        <v>2600</v>
      </c>
    </row>
    <row r="125" spans="1:28" x14ac:dyDescent="0.3">
      <c r="A125" s="79" t="s">
        <v>2601</v>
      </c>
      <c r="B125" s="39" t="str">
        <f t="shared" si="11"/>
        <v>A természetes környezet védelme az emberek vagy állatok egészsége vagy jólléte érdekében</v>
      </c>
      <c r="D125" s="59" t="s">
        <v>156</v>
      </c>
      <c r="E125" s="60" t="s">
        <v>157</v>
      </c>
      <c r="F125" s="61" t="s">
        <v>158</v>
      </c>
      <c r="G125" s="61" t="s">
        <v>159</v>
      </c>
      <c r="H125" s="60" t="s">
        <v>160</v>
      </c>
      <c r="I125" s="55" t="s">
        <v>161</v>
      </c>
      <c r="J125" s="60" t="s">
        <v>2602</v>
      </c>
      <c r="K125" s="60" t="s">
        <v>163</v>
      </c>
      <c r="L125" s="60" t="s">
        <v>164</v>
      </c>
      <c r="M125" s="60" t="s">
        <v>165</v>
      </c>
      <c r="N125" s="60"/>
      <c r="O125" s="60" t="s">
        <v>166</v>
      </c>
      <c r="P125" s="60" t="s">
        <v>167</v>
      </c>
      <c r="Q125" s="60" t="s">
        <v>168</v>
      </c>
      <c r="R125" s="60" t="s">
        <v>169</v>
      </c>
      <c r="S125" s="60" t="s">
        <v>170</v>
      </c>
      <c r="T125" s="60" t="s">
        <v>171</v>
      </c>
      <c r="U125" s="60" t="s">
        <v>172</v>
      </c>
      <c r="V125" s="61" t="s">
        <v>173</v>
      </c>
      <c r="W125" s="60" t="s">
        <v>174</v>
      </c>
      <c r="X125" s="60" t="s">
        <v>175</v>
      </c>
      <c r="Y125" s="60" t="s">
        <v>176</v>
      </c>
      <c r="Z125" s="60" t="s">
        <v>177</v>
      </c>
      <c r="AA125" s="60" t="s">
        <v>178</v>
      </c>
      <c r="AB125" s="62" t="s">
        <v>179</v>
      </c>
    </row>
    <row r="126" spans="1:28" x14ac:dyDescent="0.3">
      <c r="A126" s="79" t="s">
        <v>2603</v>
      </c>
      <c r="B126" s="39" t="str">
        <f t="shared" si="11"/>
        <v>Fajok megőrzése</v>
      </c>
      <c r="D126" s="59" t="s">
        <v>181</v>
      </c>
      <c r="E126" s="60" t="s">
        <v>182</v>
      </c>
      <c r="F126" s="61" t="s">
        <v>183</v>
      </c>
      <c r="G126" s="61" t="s">
        <v>184</v>
      </c>
      <c r="H126" s="60" t="s">
        <v>185</v>
      </c>
      <c r="I126" s="55" t="s">
        <v>186</v>
      </c>
      <c r="J126" s="60" t="s">
        <v>187</v>
      </c>
      <c r="K126" s="60" t="s">
        <v>188</v>
      </c>
      <c r="L126" s="60" t="s">
        <v>189</v>
      </c>
      <c r="M126" s="60" t="s">
        <v>190</v>
      </c>
      <c r="N126" s="60"/>
      <c r="O126" s="60" t="s">
        <v>191</v>
      </c>
      <c r="P126" s="60" t="s">
        <v>192</v>
      </c>
      <c r="Q126" s="60" t="s">
        <v>193</v>
      </c>
      <c r="R126" s="60" t="s">
        <v>194</v>
      </c>
      <c r="S126" s="60" t="s">
        <v>195</v>
      </c>
      <c r="T126" s="60" t="s">
        <v>196</v>
      </c>
      <c r="U126" s="60" t="s">
        <v>197</v>
      </c>
      <c r="V126" s="61" t="s">
        <v>198</v>
      </c>
      <c r="W126" s="60" t="s">
        <v>199</v>
      </c>
      <c r="X126" s="60" t="s">
        <v>200</v>
      </c>
      <c r="Y126" s="60" t="s">
        <v>201</v>
      </c>
      <c r="Z126" s="60" t="s">
        <v>202</v>
      </c>
      <c r="AA126" s="60" t="s">
        <v>203</v>
      </c>
      <c r="AB126" s="62" t="s">
        <v>204</v>
      </c>
    </row>
    <row r="127" spans="1:28" x14ac:dyDescent="0.3">
      <c r="A127" s="79" t="s">
        <v>2604</v>
      </c>
      <c r="B127" s="39" t="str">
        <f t="shared" si="11"/>
        <v>Felsőoktatás</v>
      </c>
      <c r="D127" s="59" t="s">
        <v>206</v>
      </c>
      <c r="E127" s="60" t="s">
        <v>207</v>
      </c>
      <c r="F127" s="61" t="s">
        <v>208</v>
      </c>
      <c r="G127" s="61" t="s">
        <v>209</v>
      </c>
      <c r="H127" s="60" t="s">
        <v>210</v>
      </c>
      <c r="I127" s="55" t="s">
        <v>211</v>
      </c>
      <c r="J127" s="60" t="s">
        <v>2605</v>
      </c>
      <c r="K127" s="60" t="s">
        <v>213</v>
      </c>
      <c r="L127" s="60" t="s">
        <v>214</v>
      </c>
      <c r="M127" s="60" t="s">
        <v>215</v>
      </c>
      <c r="N127" s="60"/>
      <c r="O127" s="60" t="s">
        <v>216</v>
      </c>
      <c r="P127" s="60" t="s">
        <v>217</v>
      </c>
      <c r="Q127" s="60" t="s">
        <v>218</v>
      </c>
      <c r="R127" s="60" t="s">
        <v>219</v>
      </c>
      <c r="S127" s="60" t="s">
        <v>220</v>
      </c>
      <c r="T127" s="60" t="s">
        <v>221</v>
      </c>
      <c r="U127" s="60" t="s">
        <v>222</v>
      </c>
      <c r="V127" s="61" t="s">
        <v>223</v>
      </c>
      <c r="W127" s="60" t="s">
        <v>224</v>
      </c>
      <c r="X127" s="60" t="s">
        <v>225</v>
      </c>
      <c r="Y127" s="60" t="s">
        <v>226</v>
      </c>
      <c r="Z127" s="60" t="s">
        <v>227</v>
      </c>
      <c r="AA127" s="60" t="s">
        <v>228</v>
      </c>
      <c r="AB127" s="62" t="s">
        <v>229</v>
      </c>
    </row>
    <row r="128" spans="1:28" x14ac:dyDescent="0.3">
      <c r="A128" s="79" t="s">
        <v>2606</v>
      </c>
      <c r="B128" s="39" t="str">
        <f t="shared" si="11"/>
        <v>Képzés</v>
      </c>
      <c r="D128" s="59" t="s">
        <v>2607</v>
      </c>
      <c r="E128" s="60" t="s">
        <v>2608</v>
      </c>
      <c r="F128" s="61" t="s">
        <v>2609</v>
      </c>
      <c r="G128" s="61" t="s">
        <v>2610</v>
      </c>
      <c r="H128" s="60" t="s">
        <v>2611</v>
      </c>
      <c r="I128" s="55" t="s">
        <v>2612</v>
      </c>
      <c r="J128" s="60" t="s">
        <v>2613</v>
      </c>
      <c r="K128" s="60" t="s">
        <v>2614</v>
      </c>
      <c r="L128" s="60" t="s">
        <v>2615</v>
      </c>
      <c r="M128" s="60" t="s">
        <v>2616</v>
      </c>
      <c r="N128" s="60"/>
      <c r="O128" s="60" t="s">
        <v>2617</v>
      </c>
      <c r="P128" s="60" t="s">
        <v>2618</v>
      </c>
      <c r="Q128" s="60" t="s">
        <v>2619</v>
      </c>
      <c r="R128" s="60" t="s">
        <v>2620</v>
      </c>
      <c r="S128" s="60" t="s">
        <v>2621</v>
      </c>
      <c r="T128" s="60" t="s">
        <v>2622</v>
      </c>
      <c r="U128" s="60" t="s">
        <v>2623</v>
      </c>
      <c r="V128" s="61" t="s">
        <v>2624</v>
      </c>
      <c r="W128" s="60" t="s">
        <v>2625</v>
      </c>
      <c r="X128" s="60" t="s">
        <v>2626</v>
      </c>
      <c r="Y128" s="60" t="s">
        <v>2627</v>
      </c>
      <c r="Z128" s="60" t="s">
        <v>2628</v>
      </c>
      <c r="AA128" s="60" t="s">
        <v>2629</v>
      </c>
      <c r="AB128" s="62" t="s">
        <v>2630</v>
      </c>
    </row>
    <row r="129" spans="1:28" x14ac:dyDescent="0.3">
      <c r="A129" s="79" t="s">
        <v>2631</v>
      </c>
      <c r="B129" s="39" t="str">
        <f t="shared" si="11"/>
        <v>Igazságügyi orvostani vizsgálat</v>
      </c>
      <c r="D129" s="59" t="s">
        <v>256</v>
      </c>
      <c r="E129" s="60" t="s">
        <v>257</v>
      </c>
      <c r="F129" s="61" t="s">
        <v>258</v>
      </c>
      <c r="G129" s="61" t="s">
        <v>259</v>
      </c>
      <c r="H129" s="60" t="s">
        <v>260</v>
      </c>
      <c r="I129" s="55" t="s">
        <v>261</v>
      </c>
      <c r="J129" s="60" t="s">
        <v>2632</v>
      </c>
      <c r="K129" s="60" t="s">
        <v>263</v>
      </c>
      <c r="L129" s="60" t="s">
        <v>264</v>
      </c>
      <c r="M129" s="60" t="s">
        <v>265</v>
      </c>
      <c r="N129" s="60"/>
      <c r="O129" s="60" t="s">
        <v>266</v>
      </c>
      <c r="P129" s="60" t="s">
        <v>267</v>
      </c>
      <c r="Q129" s="60" t="s">
        <v>268</v>
      </c>
      <c r="R129" s="60" t="s">
        <v>269</v>
      </c>
      <c r="S129" s="60" t="s">
        <v>270</v>
      </c>
      <c r="T129" s="60" t="s">
        <v>271</v>
      </c>
      <c r="U129" s="60" t="s">
        <v>272</v>
      </c>
      <c r="V129" s="61" t="s">
        <v>273</v>
      </c>
      <c r="W129" s="60" t="s">
        <v>274</v>
      </c>
      <c r="X129" s="60" t="s">
        <v>275</v>
      </c>
      <c r="Y129" s="60" t="s">
        <v>276</v>
      </c>
      <c r="Z129" s="60" t="s">
        <v>277</v>
      </c>
      <c r="AA129" s="60" t="s">
        <v>278</v>
      </c>
      <c r="AB129" s="62" t="s">
        <v>279</v>
      </c>
    </row>
    <row r="130" spans="1:28" x14ac:dyDescent="0.3">
      <c r="A130" s="79" t="s">
        <v>2633</v>
      </c>
      <c r="B130" s="39" t="str">
        <f t="shared" si="11"/>
        <v>A géntechnológiával módosított, egyéb eljárásokban nem használt állatok kolóniáinak fenntartása</v>
      </c>
      <c r="D130" s="59" t="s">
        <v>2634</v>
      </c>
      <c r="E130" s="60" t="s">
        <v>2635</v>
      </c>
      <c r="F130" s="61" t="s">
        <v>2636</v>
      </c>
      <c r="G130" s="61" t="s">
        <v>2637</v>
      </c>
      <c r="H130" s="60" t="s">
        <v>2638</v>
      </c>
      <c r="I130" s="55" t="s">
        <v>2639</v>
      </c>
      <c r="J130" s="60" t="s">
        <v>2640</v>
      </c>
      <c r="K130" s="60" t="s">
        <v>2641</v>
      </c>
      <c r="L130" s="60" t="s">
        <v>2642</v>
      </c>
      <c r="M130" s="60" t="s">
        <v>2643</v>
      </c>
      <c r="N130" s="60"/>
      <c r="O130" s="60" t="s">
        <v>2644</v>
      </c>
      <c r="P130" s="60" t="s">
        <v>2645</v>
      </c>
      <c r="Q130" s="60" t="s">
        <v>2646</v>
      </c>
      <c r="R130" s="60" t="s">
        <v>2647</v>
      </c>
      <c r="S130" s="60" t="s">
        <v>2648</v>
      </c>
      <c r="T130" s="60" t="s">
        <v>2649</v>
      </c>
      <c r="U130" s="60" t="s">
        <v>2650</v>
      </c>
      <c r="V130" s="61" t="s">
        <v>2651</v>
      </c>
      <c r="W130" s="60" t="s">
        <v>2652</v>
      </c>
      <c r="X130" s="60" t="s">
        <v>2653</v>
      </c>
      <c r="Y130" s="60" t="s">
        <v>2654</v>
      </c>
      <c r="Z130" s="60" t="s">
        <v>2655</v>
      </c>
      <c r="AA130" s="60" t="s">
        <v>2656</v>
      </c>
      <c r="AB130" s="62" t="s">
        <v>2657</v>
      </c>
    </row>
    <row r="131" spans="1:28" x14ac:dyDescent="0.3">
      <c r="A131" s="79" t="s">
        <v>2658</v>
      </c>
      <c r="B131" s="39" t="str">
        <f t="shared" si="11"/>
        <v>NEM SZAKMAI PROJEKT-ÖSSZEFOGLALÓ</v>
      </c>
      <c r="D131" s="59" t="s">
        <v>2659</v>
      </c>
      <c r="E131" s="60" t="s">
        <v>2660</v>
      </c>
      <c r="F131" s="61" t="s">
        <v>2661</v>
      </c>
      <c r="G131" s="61" t="s">
        <v>2662</v>
      </c>
      <c r="H131" s="60" t="s">
        <v>2663</v>
      </c>
      <c r="I131" s="55" t="s">
        <v>2664</v>
      </c>
      <c r="J131" s="60" t="s">
        <v>2665</v>
      </c>
      <c r="K131" s="60" t="s">
        <v>2666</v>
      </c>
      <c r="L131" s="60" t="s">
        <v>2667</v>
      </c>
      <c r="M131" s="60" t="s">
        <v>2668</v>
      </c>
      <c r="N131" s="60"/>
      <c r="O131" s="60" t="s">
        <v>2669</v>
      </c>
      <c r="P131" s="60" t="s">
        <v>2670</v>
      </c>
      <c r="Q131" s="60" t="s">
        <v>2671</v>
      </c>
      <c r="R131" s="60" t="s">
        <v>2672</v>
      </c>
      <c r="S131" s="60" t="s">
        <v>2673</v>
      </c>
      <c r="T131" s="60" t="s">
        <v>2674</v>
      </c>
      <c r="U131" s="60" t="s">
        <v>2675</v>
      </c>
      <c r="V131" s="61" t="s">
        <v>2676</v>
      </c>
      <c r="W131" s="60" t="s">
        <v>2677</v>
      </c>
      <c r="X131" s="60" t="s">
        <v>2678</v>
      </c>
      <c r="Y131" s="60" t="s">
        <v>2679</v>
      </c>
      <c r="Z131" s="60" t="s">
        <v>2680</v>
      </c>
      <c r="AA131" s="60" t="s">
        <v>2681</v>
      </c>
      <c r="AB131" s="62" t="s">
        <v>2682</v>
      </c>
    </row>
    <row r="132" spans="1:28" x14ac:dyDescent="0.3">
      <c r="A132" s="39" t="s">
        <v>2683</v>
      </c>
      <c r="B132" s="39" t="str">
        <f t="shared" si="11"/>
        <v>Válasszon ki legalább egy célt!</v>
      </c>
      <c r="D132" s="59" t="s">
        <v>2684</v>
      </c>
      <c r="E132" s="60" t="s">
        <v>2685</v>
      </c>
      <c r="F132" s="61" t="s">
        <v>2686</v>
      </c>
      <c r="G132" s="61" t="s">
        <v>2687</v>
      </c>
      <c r="H132" s="60" t="s">
        <v>2688</v>
      </c>
      <c r="I132" s="77" t="s">
        <v>2689</v>
      </c>
      <c r="J132" s="60" t="s">
        <v>2690</v>
      </c>
      <c r="K132" s="60" t="s">
        <v>2691</v>
      </c>
      <c r="L132" s="60" t="s">
        <v>2692</v>
      </c>
      <c r="M132" s="60" t="s">
        <v>2693</v>
      </c>
      <c r="N132" s="60"/>
      <c r="O132" s="60" t="s">
        <v>2694</v>
      </c>
      <c r="P132" s="60" t="s">
        <v>2695</v>
      </c>
      <c r="Q132" s="60" t="s">
        <v>2696</v>
      </c>
      <c r="R132" s="60" t="s">
        <v>2697</v>
      </c>
      <c r="S132" s="60" t="s">
        <v>2698</v>
      </c>
      <c r="T132" s="60" t="s">
        <v>2699</v>
      </c>
      <c r="U132" s="60" t="s">
        <v>2700</v>
      </c>
      <c r="V132" s="61" t="s">
        <v>2701</v>
      </c>
      <c r="W132" s="60" t="s">
        <v>2702</v>
      </c>
      <c r="X132" s="60" t="s">
        <v>2703</v>
      </c>
      <c r="Y132" s="60" t="s">
        <v>2704</v>
      </c>
      <c r="Z132" s="60" t="s">
        <v>2705</v>
      </c>
      <c r="AA132" s="60" t="s">
        <v>2706</v>
      </c>
      <c r="AB132" s="62" t="s">
        <v>2707</v>
      </c>
    </row>
    <row r="133" spans="1:28" x14ac:dyDescent="0.3">
      <c r="A133" s="39" t="s">
        <v>2708</v>
      </c>
      <c r="B133" s="39" t="str">
        <f t="shared" si="11"/>
        <v>Írjon be legalább egy kulcsszót!</v>
      </c>
      <c r="D133" s="59" t="s">
        <v>2709</v>
      </c>
      <c r="E133" s="60" t="s">
        <v>2710</v>
      </c>
      <c r="F133" s="61" t="s">
        <v>2711</v>
      </c>
      <c r="G133" s="61" t="s">
        <v>2712</v>
      </c>
      <c r="H133" s="60" t="s">
        <v>2713</v>
      </c>
      <c r="I133" s="55" t="s">
        <v>2714</v>
      </c>
      <c r="J133" s="60" t="s">
        <v>2715</v>
      </c>
      <c r="K133" s="60" t="s">
        <v>2716</v>
      </c>
      <c r="L133" s="60" t="s">
        <v>2717</v>
      </c>
      <c r="M133" s="60" t="s">
        <v>2718</v>
      </c>
      <c r="N133" s="60"/>
      <c r="O133" s="60" t="s">
        <v>2719</v>
      </c>
      <c r="P133" s="60" t="s">
        <v>2720</v>
      </c>
      <c r="Q133" s="60" t="s">
        <v>2721</v>
      </c>
      <c r="R133" s="60" t="s">
        <v>2722</v>
      </c>
      <c r="S133" s="60" t="s">
        <v>2723</v>
      </c>
      <c r="T133" s="60" t="s">
        <v>2724</v>
      </c>
      <c r="U133" s="60" t="s">
        <v>2725</v>
      </c>
      <c r="V133" s="61" t="s">
        <v>2726</v>
      </c>
      <c r="W133" s="60" t="s">
        <v>2727</v>
      </c>
      <c r="X133" s="60" t="s">
        <v>2728</v>
      </c>
      <c r="Y133" s="60" t="s">
        <v>2729</v>
      </c>
      <c r="Z133" s="60" t="s">
        <v>2730</v>
      </c>
      <c r="AA133" s="60" t="s">
        <v>2731</v>
      </c>
      <c r="AB133" s="62" t="s">
        <v>2732</v>
      </c>
    </row>
    <row r="134" spans="1:28" x14ac:dyDescent="0.3">
      <c r="A134" s="39" t="s">
        <v>2733</v>
      </c>
      <c r="B134" s="39" t="str">
        <f t="shared" si="11"/>
        <v>A projekt célkitűzései és várható előnyei</v>
      </c>
      <c r="D134" s="59" t="s">
        <v>2734</v>
      </c>
      <c r="E134" s="60" t="s">
        <v>2735</v>
      </c>
      <c r="F134" s="61" t="s">
        <v>2736</v>
      </c>
      <c r="G134" s="61" t="s">
        <v>2737</v>
      </c>
      <c r="H134" s="60" t="s">
        <v>2738</v>
      </c>
      <c r="I134" s="80" t="s">
        <v>2739</v>
      </c>
      <c r="J134" s="60" t="s">
        <v>2740</v>
      </c>
      <c r="K134" s="60" t="s">
        <v>2741</v>
      </c>
      <c r="L134" s="60" t="s">
        <v>2742</v>
      </c>
      <c r="M134" s="60" t="s">
        <v>2743</v>
      </c>
      <c r="N134" s="60"/>
      <c r="O134" s="60" t="s">
        <v>2744</v>
      </c>
      <c r="P134" s="60" t="s">
        <v>2745</v>
      </c>
      <c r="Q134" s="60" t="s">
        <v>2746</v>
      </c>
      <c r="R134" s="60" t="s">
        <v>2747</v>
      </c>
      <c r="S134" s="60" t="s">
        <v>2748</v>
      </c>
      <c r="T134" s="60" t="s">
        <v>2749</v>
      </c>
      <c r="U134" s="60" t="s">
        <v>2750</v>
      </c>
      <c r="V134" s="61" t="s">
        <v>2751</v>
      </c>
      <c r="W134" s="60" t="s">
        <v>2752</v>
      </c>
      <c r="X134" s="60" t="s">
        <v>2753</v>
      </c>
      <c r="Y134" s="60" t="s">
        <v>2754</v>
      </c>
      <c r="Z134" s="60" t="s">
        <v>2755</v>
      </c>
      <c r="AA134" s="60" t="s">
        <v>2756</v>
      </c>
      <c r="AB134" s="62" t="s">
        <v>2757</v>
      </c>
    </row>
    <row r="135" spans="1:28" x14ac:dyDescent="0.3">
      <c r="A135" s="39" t="s">
        <v>2758</v>
      </c>
      <c r="B135" s="39" t="str">
        <f t="shared" si="11"/>
        <v>A projekt célkitűzései</v>
      </c>
      <c r="D135" s="59" t="s">
        <v>2759</v>
      </c>
      <c r="E135" s="60" t="s">
        <v>2760</v>
      </c>
      <c r="F135" s="61" t="s">
        <v>2761</v>
      </c>
      <c r="G135" s="61" t="s">
        <v>2762</v>
      </c>
      <c r="H135" s="60" t="s">
        <v>2763</v>
      </c>
      <c r="I135" s="77" t="s">
        <v>2764</v>
      </c>
      <c r="J135" s="60" t="s">
        <v>2765</v>
      </c>
      <c r="K135" s="60" t="s">
        <v>2766</v>
      </c>
      <c r="L135" s="60" t="s">
        <v>2767</v>
      </c>
      <c r="M135" s="60" t="s">
        <v>2768</v>
      </c>
      <c r="N135" s="60"/>
      <c r="O135" s="60" t="s">
        <v>2769</v>
      </c>
      <c r="P135" s="60" t="s">
        <v>2770</v>
      </c>
      <c r="Q135" s="60" t="s">
        <v>2771</v>
      </c>
      <c r="R135" s="60" t="s">
        <v>2772</v>
      </c>
      <c r="S135" s="60" t="s">
        <v>2773</v>
      </c>
      <c r="T135" s="60" t="s">
        <v>2774</v>
      </c>
      <c r="U135" s="60" t="s">
        <v>2775</v>
      </c>
      <c r="V135" s="61" t="s">
        <v>2776</v>
      </c>
      <c r="W135" s="60" t="s">
        <v>2777</v>
      </c>
      <c r="X135" s="60" t="s">
        <v>2778</v>
      </c>
      <c r="Y135" s="60" t="s">
        <v>2779</v>
      </c>
      <c r="Z135" s="60" t="s">
        <v>2780</v>
      </c>
      <c r="AA135" s="60" t="s">
        <v>2781</v>
      </c>
      <c r="AB135" s="62" t="s">
        <v>2782</v>
      </c>
    </row>
    <row r="136" spans="1:28" x14ac:dyDescent="0.3">
      <c r="A136" s="39" t="s">
        <v>2783</v>
      </c>
      <c r="B136" s="39" t="str">
        <f t="shared" si="11"/>
        <v>A projektből származó potenciális előnyök</v>
      </c>
      <c r="D136" s="59" t="s">
        <v>2784</v>
      </c>
      <c r="E136" s="60" t="s">
        <v>2785</v>
      </c>
      <c r="F136" s="61" t="s">
        <v>2786</v>
      </c>
      <c r="G136" s="61" t="s">
        <v>2787</v>
      </c>
      <c r="H136" s="60" t="s">
        <v>2788</v>
      </c>
      <c r="I136" s="77" t="s">
        <v>2789</v>
      </c>
      <c r="J136" s="60" t="s">
        <v>2790</v>
      </c>
      <c r="K136" s="60" t="s">
        <v>2791</v>
      </c>
      <c r="L136" s="60" t="s">
        <v>2792</v>
      </c>
      <c r="M136" s="60" t="s">
        <v>2793</v>
      </c>
      <c r="N136" s="60"/>
      <c r="O136" s="60" t="s">
        <v>2794</v>
      </c>
      <c r="P136" s="60" t="s">
        <v>2795</v>
      </c>
      <c r="Q136" s="60" t="s">
        <v>2796</v>
      </c>
      <c r="R136" s="60" t="s">
        <v>2797</v>
      </c>
      <c r="S136" s="60" t="s">
        <v>2798</v>
      </c>
      <c r="T136" s="60" t="s">
        <v>2799</v>
      </c>
      <c r="U136" s="60" t="s">
        <v>2800</v>
      </c>
      <c r="V136" s="61" t="s">
        <v>2801</v>
      </c>
      <c r="W136" s="60" t="s">
        <v>2802</v>
      </c>
      <c r="X136" s="60" t="s">
        <v>2803</v>
      </c>
      <c r="Y136" s="60" t="s">
        <v>2804</v>
      </c>
      <c r="Z136" s="60" t="s">
        <v>2805</v>
      </c>
      <c r="AA136" s="60" t="s">
        <v>2806</v>
      </c>
      <c r="AB136" s="62" t="s">
        <v>2807</v>
      </c>
    </row>
    <row r="137" spans="1:28" x14ac:dyDescent="0.3">
      <c r="A137" s="39" t="s">
        <v>2808</v>
      </c>
      <c r="B137" s="39" t="str">
        <f t="shared" si="11"/>
        <v>Várható ártalmak</v>
      </c>
      <c r="D137" s="59" t="s">
        <v>2809</v>
      </c>
      <c r="E137" s="60" t="s">
        <v>2810</v>
      </c>
      <c r="F137" s="61" t="s">
        <v>2811</v>
      </c>
      <c r="G137" s="61" t="s">
        <v>2812</v>
      </c>
      <c r="H137" s="60" t="s">
        <v>2813</v>
      </c>
      <c r="I137" s="77" t="s">
        <v>2814</v>
      </c>
      <c r="J137" s="60" t="s">
        <v>2815</v>
      </c>
      <c r="K137" s="60" t="s">
        <v>2816</v>
      </c>
      <c r="L137" s="60" t="s">
        <v>2817</v>
      </c>
      <c r="M137" s="60" t="s">
        <v>2818</v>
      </c>
      <c r="N137" s="60"/>
      <c r="O137" s="60" t="s">
        <v>2819</v>
      </c>
      <c r="P137" s="60" t="s">
        <v>2820</v>
      </c>
      <c r="Q137" s="60" t="s">
        <v>2821</v>
      </c>
      <c r="R137" s="60" t="s">
        <v>2822</v>
      </c>
      <c r="S137" s="60" t="s">
        <v>2823</v>
      </c>
      <c r="T137" s="60" t="s">
        <v>2824</v>
      </c>
      <c r="U137" s="60" t="s">
        <v>2825</v>
      </c>
      <c r="V137" s="61" t="s">
        <v>2826</v>
      </c>
      <c r="W137" s="60" t="s">
        <v>2827</v>
      </c>
      <c r="X137" s="60" t="s">
        <v>2828</v>
      </c>
      <c r="Y137" s="60" t="s">
        <v>2829</v>
      </c>
      <c r="Z137" s="60" t="s">
        <v>2830</v>
      </c>
      <c r="AA137" s="60" t="s">
        <v>2831</v>
      </c>
      <c r="AB137" s="62" t="s">
        <v>2832</v>
      </c>
    </row>
    <row r="138" spans="1:28" x14ac:dyDescent="0.3">
      <c r="A138" s="39" t="s">
        <v>2833</v>
      </c>
      <c r="B138" s="39" t="str">
        <f t="shared" si="11"/>
        <v>Milyen eljárásoknak vetik alá az állatokat?</v>
      </c>
      <c r="D138" s="59" t="s">
        <v>2834</v>
      </c>
      <c r="E138" s="60" t="s">
        <v>2835</v>
      </c>
      <c r="F138" s="61" t="s">
        <v>2836</v>
      </c>
      <c r="G138" s="61" t="s">
        <v>2837</v>
      </c>
      <c r="H138" s="60" t="s">
        <v>2838</v>
      </c>
      <c r="I138" s="81" t="s">
        <v>2839</v>
      </c>
      <c r="J138" s="60" t="s">
        <v>2840</v>
      </c>
      <c r="K138" s="60" t="s">
        <v>2841</v>
      </c>
      <c r="L138" s="60" t="s">
        <v>2842</v>
      </c>
      <c r="M138" s="60" t="s">
        <v>2843</v>
      </c>
      <c r="N138" s="60"/>
      <c r="O138" s="60" t="s">
        <v>2844</v>
      </c>
      <c r="P138" s="60" t="s">
        <v>2845</v>
      </c>
      <c r="Q138" s="60" t="s">
        <v>2846</v>
      </c>
      <c r="R138" s="60" t="s">
        <v>2847</v>
      </c>
      <c r="S138" s="60" t="s">
        <v>2848</v>
      </c>
      <c r="T138" s="60" t="s">
        <v>2849</v>
      </c>
      <c r="U138" s="60" t="s">
        <v>2850</v>
      </c>
      <c r="V138" s="61" t="s">
        <v>2851</v>
      </c>
      <c r="W138" s="60" t="s">
        <v>2852</v>
      </c>
      <c r="X138" s="60" t="s">
        <v>2853</v>
      </c>
      <c r="Y138" s="60" t="s">
        <v>2854</v>
      </c>
      <c r="Z138" s="60" t="s">
        <v>2855</v>
      </c>
      <c r="AA138" s="60" t="s">
        <v>2856</v>
      </c>
      <c r="AB138" s="62" t="s">
        <v>2857</v>
      </c>
    </row>
    <row r="139" spans="1:28" x14ac:dyDescent="0.3">
      <c r="A139" s="39" t="s">
        <v>2858</v>
      </c>
      <c r="B139" s="39" t="str">
        <f t="shared" si="11"/>
        <v>Az állatokra gyakorolt várható hatások/káros hatások</v>
      </c>
      <c r="D139" s="59" t="s">
        <v>2859</v>
      </c>
      <c r="E139" s="60" t="s">
        <v>2860</v>
      </c>
      <c r="F139" s="61" t="s">
        <v>2861</v>
      </c>
      <c r="G139" s="61" t="s">
        <v>2862</v>
      </c>
      <c r="H139" s="60" t="s">
        <v>2863</v>
      </c>
      <c r="I139" s="77" t="s">
        <v>2864</v>
      </c>
      <c r="J139" s="60" t="s">
        <v>2865</v>
      </c>
      <c r="K139" s="60" t="s">
        <v>2866</v>
      </c>
      <c r="L139" s="60" t="s">
        <v>2867</v>
      </c>
      <c r="M139" s="60" t="s">
        <v>2868</v>
      </c>
      <c r="N139" s="60"/>
      <c r="O139" s="60" t="s">
        <v>2869</v>
      </c>
      <c r="P139" s="60" t="s">
        <v>2870</v>
      </c>
      <c r="Q139" s="60" t="s">
        <v>2871</v>
      </c>
      <c r="R139" s="60" t="s">
        <v>2872</v>
      </c>
      <c r="S139" s="60" t="s">
        <v>2873</v>
      </c>
      <c r="T139" s="60" t="s">
        <v>2874</v>
      </c>
      <c r="U139" s="60" t="s">
        <v>2875</v>
      </c>
      <c r="V139" s="61" t="s">
        <v>2876</v>
      </c>
      <c r="W139" s="60" t="s">
        <v>2877</v>
      </c>
      <c r="X139" s="60" t="s">
        <v>2878</v>
      </c>
      <c r="Y139" s="60" t="s">
        <v>2879</v>
      </c>
      <c r="Z139" s="60" t="s">
        <v>2880</v>
      </c>
      <c r="AA139" s="60" t="s">
        <v>2881</v>
      </c>
      <c r="AB139" s="62" t="s">
        <v>2882</v>
      </c>
    </row>
    <row r="140" spans="1:28" x14ac:dyDescent="0.3">
      <c r="A140" s="39" t="s">
        <v>2883</v>
      </c>
      <c r="B140" s="39" t="str">
        <f t="shared" si="11"/>
        <v>Várható ártalmak</v>
      </c>
      <c r="D140" s="59" t="s">
        <v>2884</v>
      </c>
      <c r="E140" s="60" t="s">
        <v>2885</v>
      </c>
      <c r="F140" s="61" t="s">
        <v>2811</v>
      </c>
      <c r="G140" s="61" t="s">
        <v>2886</v>
      </c>
      <c r="H140" s="60" t="s">
        <v>2813</v>
      </c>
      <c r="I140" s="77" t="s">
        <v>2887</v>
      </c>
      <c r="J140" s="60" t="s">
        <v>2815</v>
      </c>
      <c r="K140" s="60" t="s">
        <v>2816</v>
      </c>
      <c r="L140" s="60" t="s">
        <v>2888</v>
      </c>
      <c r="M140" s="60" t="s">
        <v>2889</v>
      </c>
      <c r="N140" s="60"/>
      <c r="O140" s="60" t="s">
        <v>2890</v>
      </c>
      <c r="P140" s="60" t="s">
        <v>2820</v>
      </c>
      <c r="Q140" s="60" t="s">
        <v>2891</v>
      </c>
      <c r="R140" s="60" t="s">
        <v>2892</v>
      </c>
      <c r="S140" s="60" t="s">
        <v>2893</v>
      </c>
      <c r="T140" s="60" t="s">
        <v>2894</v>
      </c>
      <c r="U140" s="60" t="s">
        <v>2895</v>
      </c>
      <c r="V140" s="61" t="s">
        <v>2896</v>
      </c>
      <c r="W140" s="60" t="s">
        <v>2897</v>
      </c>
      <c r="X140" s="60" t="s">
        <v>2898</v>
      </c>
      <c r="Y140" s="60" t="s">
        <v>2899</v>
      </c>
      <c r="Z140" s="60" t="s">
        <v>2900</v>
      </c>
      <c r="AA140" s="60" t="s">
        <v>2901</v>
      </c>
      <c r="AB140" s="62" t="s">
        <v>2902</v>
      </c>
    </row>
    <row r="141" spans="1:28" x14ac:dyDescent="0.3">
      <c r="A141" s="39" t="s">
        <v>2903</v>
      </c>
      <c r="B141" s="39" t="str">
        <f t="shared" si="11"/>
        <v>Az életben maradt állatok sorsa</v>
      </c>
      <c r="D141" s="59" t="s">
        <v>2904</v>
      </c>
      <c r="E141" s="60" t="s">
        <v>2905</v>
      </c>
      <c r="F141" s="61" t="s">
        <v>2906</v>
      </c>
      <c r="G141" s="61" t="s">
        <v>2907</v>
      </c>
      <c r="H141" s="60" t="s">
        <v>2908</v>
      </c>
      <c r="I141" s="77" t="s">
        <v>2909</v>
      </c>
      <c r="J141" s="60" t="s">
        <v>2910</v>
      </c>
      <c r="K141" s="60" t="s">
        <v>2911</v>
      </c>
      <c r="L141" s="60" t="s">
        <v>2912</v>
      </c>
      <c r="M141" s="60" t="s">
        <v>2913</v>
      </c>
      <c r="N141" s="60"/>
      <c r="O141" s="60" t="s">
        <v>2914</v>
      </c>
      <c r="P141" s="60" t="s">
        <v>2915</v>
      </c>
      <c r="Q141" s="60" t="s">
        <v>2916</v>
      </c>
      <c r="R141" s="60" t="s">
        <v>2917</v>
      </c>
      <c r="S141" s="60" t="s">
        <v>2918</v>
      </c>
      <c r="T141" s="60" t="s">
        <v>2919</v>
      </c>
      <c r="U141" s="60" t="s">
        <v>2920</v>
      </c>
      <c r="V141" s="61" t="s">
        <v>2921</v>
      </c>
      <c r="W141" s="60" t="s">
        <v>2922</v>
      </c>
      <c r="X141" s="60" t="s">
        <v>2923</v>
      </c>
      <c r="Y141" s="60" t="s">
        <v>2924</v>
      </c>
      <c r="Z141" s="60" t="s">
        <v>2925</v>
      </c>
      <c r="AA141" s="60" t="s">
        <v>2926</v>
      </c>
      <c r="AB141" s="62" t="s">
        <v>2927</v>
      </c>
    </row>
    <row r="142" spans="1:28" x14ac:dyDescent="0.3">
      <c r="A142" s="39" t="s">
        <v>2928</v>
      </c>
      <c r="B142" s="39" t="str">
        <f t="shared" si="11"/>
        <v>Kérjük, indokolja meg az állatok tervezett sorsát az eljárás után!</v>
      </c>
      <c r="D142" s="59" t="s">
        <v>2929</v>
      </c>
      <c r="E142" s="60" t="s">
        <v>2930</v>
      </c>
      <c r="F142" s="61" t="s">
        <v>2931</v>
      </c>
      <c r="G142" s="61" t="s">
        <v>2932</v>
      </c>
      <c r="H142" s="60" t="s">
        <v>2933</v>
      </c>
      <c r="I142" s="81" t="s">
        <v>2934</v>
      </c>
      <c r="J142" s="60" t="s">
        <v>2935</v>
      </c>
      <c r="K142" s="60" t="s">
        <v>2936</v>
      </c>
      <c r="L142" s="60" t="s">
        <v>2937</v>
      </c>
      <c r="M142" s="60" t="s">
        <v>2938</v>
      </c>
      <c r="N142" s="60"/>
      <c r="O142" s="60" t="s">
        <v>2939</v>
      </c>
      <c r="P142" s="60" t="s">
        <v>2940</v>
      </c>
      <c r="Q142" s="60" t="s">
        <v>2941</v>
      </c>
      <c r="R142" s="60" t="s">
        <v>2942</v>
      </c>
      <c r="S142" s="60" t="s">
        <v>2943</v>
      </c>
      <c r="T142" s="60" t="s">
        <v>2944</v>
      </c>
      <c r="U142" s="60" t="s">
        <v>2945</v>
      </c>
      <c r="V142" s="61" t="s">
        <v>2946</v>
      </c>
      <c r="W142" s="60" t="s">
        <v>2947</v>
      </c>
      <c r="X142" s="60" t="s">
        <v>2948</v>
      </c>
      <c r="Y142" s="60" t="s">
        <v>2949</v>
      </c>
      <c r="Z142" s="60" t="s">
        <v>2950</v>
      </c>
      <c r="AA142" s="60" t="s">
        <v>2951</v>
      </c>
      <c r="AB142" s="62" t="s">
        <v>2952</v>
      </c>
    </row>
    <row r="143" spans="1:28" x14ac:dyDescent="0.3">
      <c r="A143" s="39" t="s">
        <v>2953</v>
      </c>
      <c r="B143" s="39" t="str">
        <f t="shared" ref="B143:B174" si="12">IF(TRIM(HLOOKUP(language_or_default,textTranslations,MATCH(A143,text,0),0))="",HLOOKUP("en",textTranslations,MATCH(A143,text,0),0),HLOOKUP(language_or_default,textTranslations,MATCH(A143,text,0),0))</f>
        <v>A helyettesítés, a csökkentés és a tökéletesítés (3R) alkalmazása</v>
      </c>
      <c r="D143" s="59" t="s">
        <v>2954</v>
      </c>
      <c r="E143" s="60" t="s">
        <v>2955</v>
      </c>
      <c r="F143" s="61" t="s">
        <v>2956</v>
      </c>
      <c r="G143" s="61" t="s">
        <v>2957</v>
      </c>
      <c r="H143" s="60" t="s">
        <v>2958</v>
      </c>
      <c r="I143" s="77" t="s">
        <v>2959</v>
      </c>
      <c r="J143" s="60" t="s">
        <v>2960</v>
      </c>
      <c r="K143" s="60" t="s">
        <v>2961</v>
      </c>
      <c r="L143" s="60" t="s">
        <v>2962</v>
      </c>
      <c r="M143" s="60" t="s">
        <v>2963</v>
      </c>
      <c r="N143" s="60"/>
      <c r="O143" s="60" t="s">
        <v>2964</v>
      </c>
      <c r="P143" s="60" t="s">
        <v>2965</v>
      </c>
      <c r="Q143" s="60" t="s">
        <v>2966</v>
      </c>
      <c r="R143" s="60" t="s">
        <v>2967</v>
      </c>
      <c r="S143" s="60" t="s">
        <v>2968</v>
      </c>
      <c r="T143" s="60" t="s">
        <v>2969</v>
      </c>
      <c r="U143" s="60" t="s">
        <v>2970</v>
      </c>
      <c r="V143" s="61" t="s">
        <v>2971</v>
      </c>
      <c r="W143" s="60" t="s">
        <v>2972</v>
      </c>
      <c r="X143" s="60" t="s">
        <v>2973</v>
      </c>
      <c r="Y143" s="60" t="s">
        <v>2974</v>
      </c>
      <c r="Z143" s="60" t="s">
        <v>2975</v>
      </c>
      <c r="AA143" s="60" t="s">
        <v>2976</v>
      </c>
      <c r="AB143" s="62" t="s">
        <v>2977</v>
      </c>
    </row>
    <row r="144" spans="1:28" x14ac:dyDescent="0.3">
      <c r="A144" s="39" t="s">
        <v>2978</v>
      </c>
      <c r="B144" s="39" t="str">
        <f t="shared" si="12"/>
        <v>1. Helyettesítés</v>
      </c>
      <c r="D144" s="59" t="s">
        <v>2979</v>
      </c>
      <c r="E144" s="60" t="s">
        <v>2980</v>
      </c>
      <c r="F144" s="61" t="s">
        <v>2981</v>
      </c>
      <c r="G144" s="61" t="s">
        <v>2982</v>
      </c>
      <c r="H144" s="60" t="s">
        <v>2983</v>
      </c>
      <c r="I144" s="77" t="s">
        <v>2984</v>
      </c>
      <c r="J144" s="60" t="s">
        <v>2985</v>
      </c>
      <c r="K144" s="60" t="s">
        <v>2986</v>
      </c>
      <c r="L144" s="60" t="s">
        <v>2987</v>
      </c>
      <c r="M144" s="60" t="s">
        <v>2988</v>
      </c>
      <c r="N144" s="60"/>
      <c r="O144" s="60" t="s">
        <v>2989</v>
      </c>
      <c r="P144" s="60" t="s">
        <v>2990</v>
      </c>
      <c r="Q144" s="60" t="s">
        <v>2991</v>
      </c>
      <c r="R144" s="60" t="s">
        <v>2992</v>
      </c>
      <c r="S144" s="60" t="s">
        <v>2993</v>
      </c>
      <c r="T144" s="60" t="s">
        <v>2994</v>
      </c>
      <c r="U144" s="60" t="s">
        <v>2995</v>
      </c>
      <c r="V144" s="61" t="s">
        <v>2996</v>
      </c>
      <c r="W144" s="60" t="s">
        <v>2997</v>
      </c>
      <c r="X144" s="60" t="s">
        <v>2998</v>
      </c>
      <c r="Y144" s="60" t="s">
        <v>2999</v>
      </c>
      <c r="Z144" s="60" t="s">
        <v>3000</v>
      </c>
      <c r="AA144" s="60" t="s">
        <v>3001</v>
      </c>
      <c r="AB144" s="62" t="s">
        <v>3002</v>
      </c>
    </row>
    <row r="145" spans="1:28" x14ac:dyDescent="0.3">
      <c r="A145" s="39" t="s">
        <v>3003</v>
      </c>
      <c r="B145" s="39" t="str">
        <f t="shared" si="12"/>
        <v>2. Csökkentés</v>
      </c>
      <c r="D145" s="59" t="s">
        <v>3004</v>
      </c>
      <c r="E145" s="60" t="s">
        <v>3005</v>
      </c>
      <c r="F145" s="61" t="s">
        <v>3006</v>
      </c>
      <c r="G145" s="61" t="s">
        <v>3007</v>
      </c>
      <c r="H145" s="60" t="s">
        <v>3008</v>
      </c>
      <c r="I145" s="77" t="s">
        <v>3009</v>
      </c>
      <c r="J145" s="60" t="s">
        <v>3010</v>
      </c>
      <c r="K145" s="60" t="s">
        <v>3011</v>
      </c>
      <c r="L145" s="60" t="s">
        <v>3012</v>
      </c>
      <c r="M145" s="60" t="s">
        <v>3013</v>
      </c>
      <c r="N145" s="60"/>
      <c r="O145" s="60" t="s">
        <v>3014</v>
      </c>
      <c r="P145" s="60" t="s">
        <v>3015</v>
      </c>
      <c r="Q145" s="60" t="s">
        <v>3016</v>
      </c>
      <c r="R145" s="60" t="s">
        <v>3017</v>
      </c>
      <c r="S145" s="60" t="s">
        <v>3018</v>
      </c>
      <c r="T145" s="60" t="s">
        <v>3019</v>
      </c>
      <c r="U145" s="60" t="s">
        <v>3020</v>
      </c>
      <c r="V145" s="61" t="s">
        <v>3021</v>
      </c>
      <c r="W145" s="60" t="s">
        <v>3022</v>
      </c>
      <c r="X145" s="60" t="s">
        <v>3023</v>
      </c>
      <c r="Y145" s="60" t="s">
        <v>3024</v>
      </c>
      <c r="Z145" s="60" t="s">
        <v>3025</v>
      </c>
      <c r="AA145" s="60" t="s">
        <v>3026</v>
      </c>
      <c r="AB145" s="62" t="s">
        <v>3027</v>
      </c>
    </row>
    <row r="146" spans="1:28" x14ac:dyDescent="0.3">
      <c r="A146" s="39" t="s">
        <v>3028</v>
      </c>
      <c r="B146" s="39" t="str">
        <f t="shared" si="12"/>
        <v>3. Tökéletesítés</v>
      </c>
      <c r="D146" s="59" t="s">
        <v>3029</v>
      </c>
      <c r="E146" s="60" t="s">
        <v>3030</v>
      </c>
      <c r="F146" s="61" t="s">
        <v>3031</v>
      </c>
      <c r="G146" s="61" t="s">
        <v>3032</v>
      </c>
      <c r="H146" s="60" t="s">
        <v>3033</v>
      </c>
      <c r="I146" s="77" t="s">
        <v>3034</v>
      </c>
      <c r="J146" s="60" t="s">
        <v>3035</v>
      </c>
      <c r="K146" s="60" t="s">
        <v>3036</v>
      </c>
      <c r="L146" s="60" t="s">
        <v>3037</v>
      </c>
      <c r="M146" s="60" t="s">
        <v>3038</v>
      </c>
      <c r="N146" s="60"/>
      <c r="O146" s="60" t="s">
        <v>3039</v>
      </c>
      <c r="P146" s="60" t="s">
        <v>3040</v>
      </c>
      <c r="Q146" s="60" t="s">
        <v>3041</v>
      </c>
      <c r="R146" s="60" t="s">
        <v>3042</v>
      </c>
      <c r="S146" s="60" t="s">
        <v>3043</v>
      </c>
      <c r="T146" s="60" t="s">
        <v>3044</v>
      </c>
      <c r="U146" s="60" t="s">
        <v>3045</v>
      </c>
      <c r="V146" s="61" t="s">
        <v>3046</v>
      </c>
      <c r="W146" s="60" t="s">
        <v>3047</v>
      </c>
      <c r="X146" s="60" t="s">
        <v>3048</v>
      </c>
      <c r="Y146" s="60" t="s">
        <v>3049</v>
      </c>
      <c r="Z146" s="60" t="s">
        <v>3050</v>
      </c>
      <c r="AA146" s="60" t="s">
        <v>3051</v>
      </c>
      <c r="AB146" s="62" t="s">
        <v>3052</v>
      </c>
    </row>
    <row r="147" spans="1:28" x14ac:dyDescent="0.3">
      <c r="A147" s="39" t="s">
        <v>3053</v>
      </c>
      <c r="B147" s="39" t="str">
        <f t="shared" si="12"/>
        <v>Indokolja a faj és a releváns életszakaszok kiválasztását!</v>
      </c>
      <c r="D147" s="82" t="s">
        <v>3054</v>
      </c>
      <c r="E147" s="83" t="s">
        <v>3055</v>
      </c>
      <c r="F147" s="84" t="s">
        <v>3056</v>
      </c>
      <c r="G147" s="84" t="s">
        <v>3057</v>
      </c>
      <c r="H147" s="83" t="s">
        <v>3058</v>
      </c>
      <c r="I147" s="81" t="s">
        <v>3059</v>
      </c>
      <c r="J147" s="83" t="s">
        <v>3060</v>
      </c>
      <c r="K147" s="83" t="s">
        <v>3061</v>
      </c>
      <c r="L147" s="83" t="s">
        <v>3062</v>
      </c>
      <c r="M147" s="83" t="s">
        <v>3063</v>
      </c>
      <c r="N147" s="60"/>
      <c r="O147" s="83" t="s">
        <v>3064</v>
      </c>
      <c r="P147" s="83" t="s">
        <v>3065</v>
      </c>
      <c r="Q147" s="83" t="s">
        <v>3066</v>
      </c>
      <c r="R147" s="83" t="s">
        <v>3067</v>
      </c>
      <c r="S147" s="83" t="s">
        <v>3068</v>
      </c>
      <c r="T147" s="83" t="s">
        <v>3069</v>
      </c>
      <c r="U147" s="83" t="s">
        <v>3070</v>
      </c>
      <c r="V147" s="84" t="s">
        <v>3071</v>
      </c>
      <c r="W147" s="83" t="s">
        <v>3072</v>
      </c>
      <c r="X147" s="83" t="s">
        <v>3073</v>
      </c>
      <c r="Y147" s="83" t="s">
        <v>3074</v>
      </c>
      <c r="Z147" s="83" t="s">
        <v>3075</v>
      </c>
      <c r="AA147" s="83" t="s">
        <v>3076</v>
      </c>
      <c r="AB147" s="62" t="s">
        <v>3077</v>
      </c>
    </row>
    <row r="148" spans="1:28" x14ac:dyDescent="0.3">
      <c r="A148" s="39" t="s">
        <v>3078</v>
      </c>
      <c r="B148" s="39" t="str">
        <f t="shared" si="12"/>
        <v>A visszamenőleges hatályú értékelésre kiválasztott projekt</v>
      </c>
      <c r="D148" s="59" t="s">
        <v>3079</v>
      </c>
      <c r="E148" s="60" t="s">
        <v>3080</v>
      </c>
      <c r="F148" s="61" t="s">
        <v>3081</v>
      </c>
      <c r="G148" s="61" t="s">
        <v>3082</v>
      </c>
      <c r="H148" s="60" t="s">
        <v>3083</v>
      </c>
      <c r="I148" s="77" t="s">
        <v>3084</v>
      </c>
      <c r="J148" s="60" t="s">
        <v>3085</v>
      </c>
      <c r="K148" s="60" t="s">
        <v>3086</v>
      </c>
      <c r="L148" s="60" t="s">
        <v>3087</v>
      </c>
      <c r="M148" s="60" t="s">
        <v>3088</v>
      </c>
      <c r="N148" s="60"/>
      <c r="O148" s="60" t="s">
        <v>3089</v>
      </c>
      <c r="P148" s="60" t="s">
        <v>3090</v>
      </c>
      <c r="Q148" s="60" t="s">
        <v>3091</v>
      </c>
      <c r="R148" s="60" t="s">
        <v>3092</v>
      </c>
      <c r="S148" s="60" t="s">
        <v>3093</v>
      </c>
      <c r="T148" s="60" t="s">
        <v>3094</v>
      </c>
      <c r="U148" s="60" t="s">
        <v>3095</v>
      </c>
      <c r="V148" s="61" t="s">
        <v>3096</v>
      </c>
      <c r="W148" s="60" t="s">
        <v>3097</v>
      </c>
      <c r="X148" s="60" t="s">
        <v>3098</v>
      </c>
      <c r="Y148" s="60" t="s">
        <v>3099</v>
      </c>
      <c r="Z148" s="60" t="s">
        <v>3100</v>
      </c>
      <c r="AA148" s="60" t="s">
        <v>3101</v>
      </c>
      <c r="AB148" s="62" t="s">
        <v>3102</v>
      </c>
    </row>
    <row r="149" spans="1:28" x14ac:dyDescent="0.3">
      <c r="A149" s="39" t="s">
        <v>3103</v>
      </c>
      <c r="B149" s="39" t="str">
        <f t="shared" si="12"/>
        <v>visszamenőleges hatályú értékelésre kiválasztott projekt?</v>
      </c>
      <c r="D149" s="59" t="s">
        <v>3104</v>
      </c>
      <c r="E149" s="60" t="s">
        <v>3105</v>
      </c>
      <c r="F149" s="61" t="s">
        <v>3106</v>
      </c>
      <c r="G149" s="61" t="s">
        <v>3107</v>
      </c>
      <c r="H149" s="60" t="s">
        <v>3108</v>
      </c>
      <c r="I149" s="77" t="s">
        <v>3109</v>
      </c>
      <c r="J149" s="60" t="s">
        <v>3110</v>
      </c>
      <c r="K149" s="60" t="s">
        <v>3111</v>
      </c>
      <c r="L149" s="60" t="s">
        <v>3112</v>
      </c>
      <c r="M149" s="60" t="s">
        <v>3113</v>
      </c>
      <c r="N149" s="60"/>
      <c r="O149" s="60" t="s">
        <v>3114</v>
      </c>
      <c r="P149" s="60" t="s">
        <v>3115</v>
      </c>
      <c r="Q149" s="60" t="s">
        <v>3116</v>
      </c>
      <c r="R149" s="60" t="s">
        <v>3117</v>
      </c>
      <c r="S149" s="60" t="s">
        <v>3118</v>
      </c>
      <c r="T149" s="60" t="s">
        <v>3119</v>
      </c>
      <c r="U149" s="60" t="s">
        <v>3120</v>
      </c>
      <c r="V149" s="61" t="s">
        <v>3121</v>
      </c>
      <c r="W149" s="60" t="s">
        <v>3122</v>
      </c>
      <c r="X149" s="60" t="s">
        <v>3123</v>
      </c>
      <c r="Y149" s="60" t="s">
        <v>3124</v>
      </c>
      <c r="Z149" s="60" t="s">
        <v>3125</v>
      </c>
      <c r="AA149" s="60" t="s">
        <v>3126</v>
      </c>
      <c r="AB149" s="62" t="s">
        <v>3127</v>
      </c>
    </row>
    <row r="150" spans="1:28" x14ac:dyDescent="0.3">
      <c r="A150" s="39" t="s">
        <v>3128</v>
      </c>
      <c r="B150" s="39" t="str">
        <f t="shared" si="12"/>
        <v>A visszamenőleges hatályú értékelés határideje</v>
      </c>
      <c r="D150" s="59" t="s">
        <v>3129</v>
      </c>
      <c r="E150" s="60" t="s">
        <v>3130</v>
      </c>
      <c r="F150" s="61" t="s">
        <v>3131</v>
      </c>
      <c r="G150" s="61" t="s">
        <v>3132</v>
      </c>
      <c r="H150" s="60" t="s">
        <v>3133</v>
      </c>
      <c r="I150" s="77" t="s">
        <v>3134</v>
      </c>
      <c r="J150" s="60" t="s">
        <v>3135</v>
      </c>
      <c r="K150" s="60" t="s">
        <v>3136</v>
      </c>
      <c r="L150" s="60" t="s">
        <v>3137</v>
      </c>
      <c r="M150" s="60" t="s">
        <v>3138</v>
      </c>
      <c r="N150" s="60"/>
      <c r="O150" s="60" t="s">
        <v>3139</v>
      </c>
      <c r="P150" s="60" t="s">
        <v>3140</v>
      </c>
      <c r="Q150" s="60" t="s">
        <v>3141</v>
      </c>
      <c r="R150" s="60" t="s">
        <v>3142</v>
      </c>
      <c r="S150" s="60" t="s">
        <v>3143</v>
      </c>
      <c r="T150" s="60" t="s">
        <v>3144</v>
      </c>
      <c r="U150" s="60" t="s">
        <v>3145</v>
      </c>
      <c r="V150" s="61" t="s">
        <v>3146</v>
      </c>
      <c r="W150" s="60" t="s">
        <v>3147</v>
      </c>
      <c r="X150" s="60" t="s">
        <v>3148</v>
      </c>
      <c r="Y150" s="60" t="s">
        <v>3149</v>
      </c>
      <c r="Z150" s="60" t="s">
        <v>3150</v>
      </c>
      <c r="AA150" s="60" t="s">
        <v>3151</v>
      </c>
      <c r="AB150" s="62" t="s">
        <v>3152</v>
      </c>
    </row>
    <row r="151" spans="1:28" x14ac:dyDescent="0.3">
      <c r="A151" s="39" t="s">
        <v>3153</v>
      </c>
      <c r="B151" s="39" t="str">
        <f t="shared" si="12"/>
        <v>A visszamenőleges hatályú értékelés indokai</v>
      </c>
      <c r="D151" s="59" t="s">
        <v>3154</v>
      </c>
      <c r="E151" s="60" t="s">
        <v>3155</v>
      </c>
      <c r="F151" s="61" t="s">
        <v>3156</v>
      </c>
      <c r="G151" s="61" t="s">
        <v>3157</v>
      </c>
      <c r="H151" s="60" t="s">
        <v>3158</v>
      </c>
      <c r="I151" s="81" t="s">
        <v>3159</v>
      </c>
      <c r="J151" s="60" t="s">
        <v>3160</v>
      </c>
      <c r="K151" s="60" t="s">
        <v>3161</v>
      </c>
      <c r="L151" s="60" t="s">
        <v>3162</v>
      </c>
      <c r="M151" s="60" t="s">
        <v>3163</v>
      </c>
      <c r="N151" s="60"/>
      <c r="O151" s="60" t="s">
        <v>3164</v>
      </c>
      <c r="P151" s="60" t="s">
        <v>3165</v>
      </c>
      <c r="Q151" s="60" t="s">
        <v>3166</v>
      </c>
      <c r="R151" s="60" t="s">
        <v>3167</v>
      </c>
      <c r="S151" s="60" t="s">
        <v>3168</v>
      </c>
      <c r="T151" s="60" t="s">
        <v>3169</v>
      </c>
      <c r="U151" s="60" t="s">
        <v>3170</v>
      </c>
      <c r="V151" s="61" t="s">
        <v>3171</v>
      </c>
      <c r="W151" s="60" t="s">
        <v>3172</v>
      </c>
      <c r="X151" s="60" t="s">
        <v>3173</v>
      </c>
      <c r="Y151" s="60" t="s">
        <v>3174</v>
      </c>
      <c r="Z151" s="60" t="s">
        <v>3175</v>
      </c>
      <c r="AA151" s="60" t="s">
        <v>3176</v>
      </c>
      <c r="AB151" s="62" t="s">
        <v>3177</v>
      </c>
    </row>
    <row r="152" spans="1:28" x14ac:dyDescent="0.3">
      <c r="A152" s="85" t="s">
        <v>3178</v>
      </c>
      <c r="B152" s="39" t="str">
        <f t="shared" si="12"/>
        <v>Súlyos eljárásokat tartalmaz</v>
      </c>
      <c r="D152" s="59" t="s">
        <v>3179</v>
      </c>
      <c r="E152" s="60" t="s">
        <v>3180</v>
      </c>
      <c r="F152" s="61" t="s">
        <v>3181</v>
      </c>
      <c r="G152" s="61" t="s">
        <v>3182</v>
      </c>
      <c r="H152" s="60" t="s">
        <v>3183</v>
      </c>
      <c r="I152" s="77" t="s">
        <v>3184</v>
      </c>
      <c r="J152" s="60" t="s">
        <v>3185</v>
      </c>
      <c r="K152" s="60" t="s">
        <v>3186</v>
      </c>
      <c r="L152" s="60" t="s">
        <v>3187</v>
      </c>
      <c r="M152" s="60" t="s">
        <v>3188</v>
      </c>
      <c r="N152" s="60"/>
      <c r="O152" s="60" t="s">
        <v>3189</v>
      </c>
      <c r="P152" s="60" t="s">
        <v>3190</v>
      </c>
      <c r="Q152" s="60" t="s">
        <v>3191</v>
      </c>
      <c r="R152" s="60" t="s">
        <v>3192</v>
      </c>
      <c r="S152" s="60" t="s">
        <v>3193</v>
      </c>
      <c r="T152" s="60" t="s">
        <v>3194</v>
      </c>
      <c r="U152" s="60" t="s">
        <v>3195</v>
      </c>
      <c r="V152" s="61" t="s">
        <v>3196</v>
      </c>
      <c r="W152" s="60" t="s">
        <v>3197</v>
      </c>
      <c r="X152" s="60" t="s">
        <v>3198</v>
      </c>
      <c r="Y152" s="60" t="s">
        <v>3199</v>
      </c>
      <c r="Z152" s="60" t="s">
        <v>3200</v>
      </c>
      <c r="AA152" s="60" t="s">
        <v>3201</v>
      </c>
      <c r="AB152" s="62" t="s">
        <v>3202</v>
      </c>
    </row>
    <row r="153" spans="1:28" x14ac:dyDescent="0.3">
      <c r="A153" s="85" t="s">
        <v>3203</v>
      </c>
      <c r="B153" s="39" t="str">
        <f t="shared" si="12"/>
        <v>Nem emberi főemlősöket használ</v>
      </c>
      <c r="D153" s="59" t="s">
        <v>3204</v>
      </c>
      <c r="E153" s="60" t="s">
        <v>3205</v>
      </c>
      <c r="F153" s="61" t="s">
        <v>3206</v>
      </c>
      <c r="G153" s="61" t="s">
        <v>3207</v>
      </c>
      <c r="H153" s="60" t="s">
        <v>3208</v>
      </c>
      <c r="I153" s="77" t="s">
        <v>3209</v>
      </c>
      <c r="J153" s="60" t="s">
        <v>3210</v>
      </c>
      <c r="K153" s="60" t="s">
        <v>3211</v>
      </c>
      <c r="L153" s="60" t="s">
        <v>3212</v>
      </c>
      <c r="M153" s="60" t="s">
        <v>3213</v>
      </c>
      <c r="N153" s="60"/>
      <c r="O153" s="60" t="s">
        <v>3214</v>
      </c>
      <c r="P153" s="60" t="s">
        <v>3215</v>
      </c>
      <c r="Q153" s="60" t="s">
        <v>3216</v>
      </c>
      <c r="R153" s="60" t="s">
        <v>3217</v>
      </c>
      <c r="S153" s="60" t="s">
        <v>3218</v>
      </c>
      <c r="T153" s="60" t="s">
        <v>3219</v>
      </c>
      <c r="U153" s="60" t="s">
        <v>3220</v>
      </c>
      <c r="V153" s="61" t="s">
        <v>3221</v>
      </c>
      <c r="W153" s="60" t="s">
        <v>3222</v>
      </c>
      <c r="X153" s="60" t="s">
        <v>3223</v>
      </c>
      <c r="Y153" s="60" t="s">
        <v>3224</v>
      </c>
      <c r="Z153" s="60" t="s">
        <v>3225</v>
      </c>
      <c r="AA153" s="60" t="s">
        <v>3226</v>
      </c>
      <c r="AB153" s="62" t="s">
        <v>3227</v>
      </c>
    </row>
    <row r="154" spans="1:28" x14ac:dyDescent="0.3">
      <c r="A154" s="85" t="s">
        <v>3228</v>
      </c>
      <c r="B154" s="39" t="str">
        <f t="shared" si="12"/>
        <v>Egyéb ok</v>
      </c>
      <c r="D154" s="59" t="s">
        <v>3229</v>
      </c>
      <c r="E154" s="60" t="s">
        <v>3230</v>
      </c>
      <c r="F154" s="61" t="s">
        <v>3231</v>
      </c>
      <c r="G154" s="61" t="s">
        <v>3232</v>
      </c>
      <c r="H154" s="60" t="s">
        <v>3233</v>
      </c>
      <c r="I154" s="77" t="s">
        <v>3234</v>
      </c>
      <c r="J154" s="60" t="s">
        <v>3235</v>
      </c>
      <c r="K154" s="60" t="s">
        <v>3236</v>
      </c>
      <c r="L154" s="60" t="s">
        <v>3237</v>
      </c>
      <c r="M154" s="60" t="s">
        <v>3238</v>
      </c>
      <c r="N154" s="60"/>
      <c r="O154" s="60" t="s">
        <v>3239</v>
      </c>
      <c r="P154" s="60" t="s">
        <v>3240</v>
      </c>
      <c r="Q154" s="60" t="s">
        <v>3241</v>
      </c>
      <c r="R154" s="60" t="s">
        <v>3242</v>
      </c>
      <c r="S154" s="60" t="s">
        <v>3243</v>
      </c>
      <c r="T154" s="60" t="s">
        <v>3244</v>
      </c>
      <c r="U154" s="60" t="s">
        <v>3245</v>
      </c>
      <c r="V154" s="61" t="s">
        <v>3246</v>
      </c>
      <c r="W154" s="60" t="s">
        <v>3247</v>
      </c>
      <c r="X154" s="60" t="s">
        <v>3248</v>
      </c>
      <c r="Y154" s="60" t="s">
        <v>3249</v>
      </c>
      <c r="Z154" s="60" t="s">
        <v>3250</v>
      </c>
      <c r="AA154" s="60" t="s">
        <v>3251</v>
      </c>
      <c r="AB154" s="62" t="s">
        <v>3252</v>
      </c>
    </row>
    <row r="155" spans="1:28" x14ac:dyDescent="0.3">
      <c r="A155" s="85" t="s">
        <v>3253</v>
      </c>
      <c r="B155" s="39" t="str">
        <f t="shared" si="12"/>
        <v>A visszamenőleges hatályú értékelés egyéb okának ismertetése</v>
      </c>
      <c r="D155" s="59" t="s">
        <v>3254</v>
      </c>
      <c r="E155" s="60" t="s">
        <v>3255</v>
      </c>
      <c r="F155" s="61" t="s">
        <v>3256</v>
      </c>
      <c r="G155" s="61" t="s">
        <v>3257</v>
      </c>
      <c r="H155" s="60" t="s">
        <v>3258</v>
      </c>
      <c r="I155" s="81" t="s">
        <v>3259</v>
      </c>
      <c r="J155" s="60" t="s">
        <v>3260</v>
      </c>
      <c r="K155" s="60" t="s">
        <v>3261</v>
      </c>
      <c r="L155" s="60" t="s">
        <v>3262</v>
      </c>
      <c r="M155" s="60" t="s">
        <v>3263</v>
      </c>
      <c r="N155" s="60"/>
      <c r="O155" s="60" t="s">
        <v>3264</v>
      </c>
      <c r="P155" s="60" t="s">
        <v>3265</v>
      </c>
      <c r="Q155" s="60" t="s">
        <v>3266</v>
      </c>
      <c r="R155" s="60" t="s">
        <v>3267</v>
      </c>
      <c r="S155" s="60" t="s">
        <v>3268</v>
      </c>
      <c r="T155" s="60" t="s">
        <v>3269</v>
      </c>
      <c r="U155" s="60" t="s">
        <v>3270</v>
      </c>
      <c r="V155" s="61" t="s">
        <v>3271</v>
      </c>
      <c r="W155" s="60" t="s">
        <v>3272</v>
      </c>
      <c r="X155" s="60" t="s">
        <v>3273</v>
      </c>
      <c r="Y155" s="60" t="s">
        <v>3274</v>
      </c>
      <c r="Z155" s="60" t="s">
        <v>3275</v>
      </c>
      <c r="AA155" s="60" t="s">
        <v>3276</v>
      </c>
      <c r="AB155" s="62" t="s">
        <v>3277</v>
      </c>
    </row>
    <row r="156" spans="1:28" x14ac:dyDescent="0.3">
      <c r="A156" s="39" t="s">
        <v>3278</v>
      </c>
      <c r="B156" s="39" t="str">
        <f t="shared" si="12"/>
        <v>Válasszon ki legalább egy okot!</v>
      </c>
      <c r="D156" s="59" t="s">
        <v>3279</v>
      </c>
      <c r="E156" s="60" t="s">
        <v>2685</v>
      </c>
      <c r="F156" s="61" t="s">
        <v>3280</v>
      </c>
      <c r="G156" s="61" t="s">
        <v>3281</v>
      </c>
      <c r="H156" s="60" t="s">
        <v>3282</v>
      </c>
      <c r="I156" s="77" t="s">
        <v>3283</v>
      </c>
      <c r="J156" s="60" t="s">
        <v>3284</v>
      </c>
      <c r="K156" s="60" t="s">
        <v>3285</v>
      </c>
      <c r="L156" s="60" t="s">
        <v>3286</v>
      </c>
      <c r="M156" s="60" t="s">
        <v>3287</v>
      </c>
      <c r="N156" s="60"/>
      <c r="O156" s="60" t="s">
        <v>3288</v>
      </c>
      <c r="P156" s="60" t="s">
        <v>3289</v>
      </c>
      <c r="Q156" s="60" t="s">
        <v>3290</v>
      </c>
      <c r="R156" s="60" t="s">
        <v>3291</v>
      </c>
      <c r="S156" s="60" t="s">
        <v>3292</v>
      </c>
      <c r="T156" s="60" t="s">
        <v>3293</v>
      </c>
      <c r="U156" s="60" t="s">
        <v>3294</v>
      </c>
      <c r="V156" s="61" t="s">
        <v>3295</v>
      </c>
      <c r="W156" s="60" t="s">
        <v>3296</v>
      </c>
      <c r="X156" s="60" t="s">
        <v>3297</v>
      </c>
      <c r="Y156" s="60" t="s">
        <v>3298</v>
      </c>
      <c r="Z156" s="60" t="s">
        <v>3299</v>
      </c>
      <c r="AA156" s="60" t="s">
        <v>3300</v>
      </c>
      <c r="AB156" s="62" t="s">
        <v>3301</v>
      </c>
    </row>
    <row r="157" spans="1:28" x14ac:dyDescent="0.3">
      <c r="A157" s="85" t="s">
        <v>3302</v>
      </c>
      <c r="B157" s="39" t="str">
        <f t="shared" si="12"/>
        <v>Nem megfelelő érték!</v>
      </c>
      <c r="D157" s="59" t="s">
        <v>3303</v>
      </c>
      <c r="E157" s="60" t="s">
        <v>3304</v>
      </c>
      <c r="F157" s="61" t="s">
        <v>3305</v>
      </c>
      <c r="G157" s="61" t="s">
        <v>3306</v>
      </c>
      <c r="H157" s="60" t="s">
        <v>3307</v>
      </c>
      <c r="I157" s="77" t="s">
        <v>3308</v>
      </c>
      <c r="J157" s="60" t="s">
        <v>3309</v>
      </c>
      <c r="K157" s="60" t="s">
        <v>3310</v>
      </c>
      <c r="L157" s="60" t="s">
        <v>3311</v>
      </c>
      <c r="M157" s="60" t="s">
        <v>3312</v>
      </c>
      <c r="N157" s="60"/>
      <c r="O157" s="60" t="s">
        <v>3313</v>
      </c>
      <c r="P157" s="60" t="s">
        <v>3314</v>
      </c>
      <c r="Q157" s="60" t="s">
        <v>3315</v>
      </c>
      <c r="R157" s="60" t="s">
        <v>3316</v>
      </c>
      <c r="S157" s="60" t="s">
        <v>3317</v>
      </c>
      <c r="T157" s="60" t="s">
        <v>3318</v>
      </c>
      <c r="U157" s="60" t="s">
        <v>3319</v>
      </c>
      <c r="V157" s="61" t="s">
        <v>3320</v>
      </c>
      <c r="W157" s="60" t="s">
        <v>3321</v>
      </c>
      <c r="X157" s="60" t="s">
        <v>3322</v>
      </c>
      <c r="Y157" s="60" t="s">
        <v>3323</v>
      </c>
      <c r="Z157" s="60" t="s">
        <v>3324</v>
      </c>
      <c r="AA157" s="60" t="s">
        <v>3325</v>
      </c>
      <c r="AB157" s="62" t="s">
        <v>3326</v>
      </c>
    </row>
    <row r="158" spans="1:28" x14ac:dyDescent="0.3">
      <c r="A158" s="85" t="s">
        <v>3327</v>
      </c>
      <c r="B158" s="39" t="str">
        <f t="shared" si="12"/>
        <v>A nem szakmai projekt-összefoglaló nemzeti azonosítója</v>
      </c>
      <c r="D158" s="59" t="s">
        <v>3328</v>
      </c>
      <c r="E158" s="60" t="s">
        <v>3329</v>
      </c>
      <c r="F158" s="61" t="s">
        <v>3330</v>
      </c>
      <c r="G158" s="61" t="s">
        <v>3331</v>
      </c>
      <c r="H158" s="60" t="s">
        <v>3332</v>
      </c>
      <c r="I158" s="77" t="s">
        <v>3333</v>
      </c>
      <c r="J158" s="60" t="s">
        <v>3334</v>
      </c>
      <c r="K158" s="60" t="s">
        <v>3335</v>
      </c>
      <c r="L158" s="60" t="s">
        <v>3336</v>
      </c>
      <c r="M158" s="60" t="s">
        <v>3337</v>
      </c>
      <c r="N158" s="60"/>
      <c r="O158" s="60" t="s">
        <v>3338</v>
      </c>
      <c r="P158" s="60" t="s">
        <v>3339</v>
      </c>
      <c r="Q158" s="60" t="s">
        <v>3340</v>
      </c>
      <c r="R158" s="60" t="s">
        <v>3341</v>
      </c>
      <c r="S158" s="60" t="s">
        <v>3342</v>
      </c>
      <c r="T158" s="60" t="s">
        <v>3343</v>
      </c>
      <c r="U158" s="60" t="s">
        <v>3344</v>
      </c>
      <c r="V158" s="61" t="s">
        <v>3345</v>
      </c>
      <c r="W158" s="60" t="s">
        <v>3346</v>
      </c>
      <c r="X158" s="60" t="s">
        <v>3347</v>
      </c>
      <c r="Y158" s="60" t="s">
        <v>3348</v>
      </c>
      <c r="Z158" s="60" t="s">
        <v>3349</v>
      </c>
      <c r="AA158" s="60" t="s">
        <v>3350</v>
      </c>
      <c r="AB158" s="62" t="s">
        <v>3351</v>
      </c>
    </row>
    <row r="159" spans="1:28" x14ac:dyDescent="0.3">
      <c r="A159" s="85" t="s">
        <v>3352</v>
      </c>
      <c r="B159" s="39" t="str">
        <f t="shared" si="12"/>
        <v>Nem alkalmazható a kiválasztott országra!</v>
      </c>
      <c r="D159" s="59" t="s">
        <v>3353</v>
      </c>
      <c r="E159" s="60" t="s">
        <v>3354</v>
      </c>
      <c r="F159" s="61" t="s">
        <v>3355</v>
      </c>
      <c r="G159" s="61" t="s">
        <v>3356</v>
      </c>
      <c r="H159" s="60" t="s">
        <v>3357</v>
      </c>
      <c r="I159" s="77" t="s">
        <v>3358</v>
      </c>
      <c r="J159" s="60" t="s">
        <v>3359</v>
      </c>
      <c r="K159" s="60" t="s">
        <v>3360</v>
      </c>
      <c r="L159" s="60" t="s">
        <v>3361</v>
      </c>
      <c r="M159" s="60" t="s">
        <v>3362</v>
      </c>
      <c r="N159" s="60"/>
      <c r="O159" s="60" t="s">
        <v>3363</v>
      </c>
      <c r="P159" s="60" t="s">
        <v>3364</v>
      </c>
      <c r="Q159" s="60" t="s">
        <v>3365</v>
      </c>
      <c r="R159" s="60" t="s">
        <v>3366</v>
      </c>
      <c r="S159" s="60" t="s">
        <v>3367</v>
      </c>
      <c r="T159" s="60" t="s">
        <v>3368</v>
      </c>
      <c r="U159" s="60" t="s">
        <v>3369</v>
      </c>
      <c r="V159" s="61" t="s">
        <v>3370</v>
      </c>
      <c r="W159" s="60" t="s">
        <v>3371</v>
      </c>
      <c r="X159" s="60" t="s">
        <v>3372</v>
      </c>
      <c r="Y159" s="60" t="s">
        <v>3373</v>
      </c>
      <c r="Z159" s="60" t="s">
        <v>3374</v>
      </c>
      <c r="AA159" s="60" t="s">
        <v>3375</v>
      </c>
      <c r="AB159" s="62" t="s">
        <v>3376</v>
      </c>
    </row>
    <row r="160" spans="1:28" x14ac:dyDescent="0.3">
      <c r="A160" s="85" t="s">
        <v>3377</v>
      </c>
      <c r="B160" s="39" t="str">
        <f t="shared" si="12"/>
        <v>Az illetékes hatóság tölti ki!</v>
      </c>
      <c r="D160" s="59" t="s">
        <v>3378</v>
      </c>
      <c r="E160" s="60" t="s">
        <v>3379</v>
      </c>
      <c r="F160" s="61" t="s">
        <v>3380</v>
      </c>
      <c r="G160" s="61" t="s">
        <v>3381</v>
      </c>
      <c r="H160" s="60" t="s">
        <v>3382</v>
      </c>
      <c r="I160" s="77" t="s">
        <v>3383</v>
      </c>
      <c r="J160" s="60" t="s">
        <v>3384</v>
      </c>
      <c r="K160" s="60" t="s">
        <v>3385</v>
      </c>
      <c r="L160" s="60" t="s">
        <v>3386</v>
      </c>
      <c r="M160" s="60" t="s">
        <v>3387</v>
      </c>
      <c r="N160" s="60"/>
      <c r="O160" s="60" t="s">
        <v>3388</v>
      </c>
      <c r="P160" s="60" t="s">
        <v>3389</v>
      </c>
      <c r="Q160" s="60" t="s">
        <v>3390</v>
      </c>
      <c r="R160" s="60" t="s">
        <v>3391</v>
      </c>
      <c r="S160" s="60" t="s">
        <v>3392</v>
      </c>
      <c r="T160" s="60" t="s">
        <v>3393</v>
      </c>
      <c r="U160" s="60" t="s">
        <v>3394</v>
      </c>
      <c r="V160" s="61" t="s">
        <v>3395</v>
      </c>
      <c r="W160" s="60" t="s">
        <v>3396</v>
      </c>
      <c r="X160" s="60" t="s">
        <v>3397</v>
      </c>
      <c r="Y160" s="60" t="s">
        <v>3398</v>
      </c>
      <c r="Z160" s="60" t="s">
        <v>3399</v>
      </c>
      <c r="AA160" s="60" t="s">
        <v>3400</v>
      </c>
      <c r="AB160" s="62" t="s">
        <v>3401</v>
      </c>
    </row>
    <row r="161" spans="1:28" x14ac:dyDescent="0.3">
      <c r="A161" s="85" t="s">
        <v>3402</v>
      </c>
      <c r="B161" s="39" t="str">
        <f t="shared" si="12"/>
        <v>Az összesített számnak 0-nál nagyobbnak kell lennie!</v>
      </c>
      <c r="D161" s="59" t="s">
        <v>3403</v>
      </c>
      <c r="E161" s="60" t="s">
        <v>3404</v>
      </c>
      <c r="F161" s="61" t="s">
        <v>3405</v>
      </c>
      <c r="G161" s="61" t="s">
        <v>3406</v>
      </c>
      <c r="H161" s="60" t="s">
        <v>3407</v>
      </c>
      <c r="I161" s="77" t="s">
        <v>3408</v>
      </c>
      <c r="J161" s="60" t="s">
        <v>3409</v>
      </c>
      <c r="K161" s="60" t="s">
        <v>3410</v>
      </c>
      <c r="L161" s="60" t="s">
        <v>3411</v>
      </c>
      <c r="M161" s="60" t="s">
        <v>3412</v>
      </c>
      <c r="N161" s="60"/>
      <c r="O161" s="60" t="s">
        <v>3413</v>
      </c>
      <c r="P161" s="60" t="s">
        <v>3414</v>
      </c>
      <c r="Q161" s="60" t="s">
        <v>3415</v>
      </c>
      <c r="R161" s="60" t="s">
        <v>3416</v>
      </c>
      <c r="S161" s="60" t="s">
        <v>3417</v>
      </c>
      <c r="T161" s="60" t="s">
        <v>3418</v>
      </c>
      <c r="U161" s="60" t="s">
        <v>3419</v>
      </c>
      <c r="V161" s="61" t="s">
        <v>3420</v>
      </c>
      <c r="W161" s="60" t="s">
        <v>3421</v>
      </c>
      <c r="X161" s="60" t="s">
        <v>3422</v>
      </c>
      <c r="Y161" s="60" t="s">
        <v>3423</v>
      </c>
      <c r="Z161" s="60" t="s">
        <v>3424</v>
      </c>
      <c r="AA161" s="60" t="s">
        <v>3425</v>
      </c>
      <c r="AB161" s="62" t="s">
        <v>3426</v>
      </c>
    </row>
    <row r="162" spans="1:28" x14ac:dyDescent="0.3">
      <c r="A162" s="85" t="s">
        <v>3427</v>
      </c>
      <c r="B162" s="39" t="str">
        <f t="shared" si="12"/>
        <v>A fajokat ki kell választani!</v>
      </c>
      <c r="D162" s="59" t="s">
        <v>3428</v>
      </c>
      <c r="E162" s="60" t="s">
        <v>3429</v>
      </c>
      <c r="F162" s="61" t="s">
        <v>3430</v>
      </c>
      <c r="G162" s="61" t="s">
        <v>3431</v>
      </c>
      <c r="H162" s="60" t="s">
        <v>3432</v>
      </c>
      <c r="I162" s="77" t="s">
        <v>3433</v>
      </c>
      <c r="J162" s="60" t="s">
        <v>3434</v>
      </c>
      <c r="K162" s="60" t="s">
        <v>3435</v>
      </c>
      <c r="L162" s="60" t="s">
        <v>3436</v>
      </c>
      <c r="M162" s="60" t="s">
        <v>3437</v>
      </c>
      <c r="N162" s="60"/>
      <c r="O162" s="60" t="s">
        <v>3438</v>
      </c>
      <c r="P162" s="60" t="s">
        <v>3439</v>
      </c>
      <c r="Q162" s="60" t="s">
        <v>3440</v>
      </c>
      <c r="R162" s="60" t="s">
        <v>3441</v>
      </c>
      <c r="S162" s="60" t="s">
        <v>3442</v>
      </c>
      <c r="T162" s="60" t="s">
        <v>3443</v>
      </c>
      <c r="U162" s="60" t="s">
        <v>3444</v>
      </c>
      <c r="V162" s="61" t="s">
        <v>3445</v>
      </c>
      <c r="W162" s="60" t="s">
        <v>3446</v>
      </c>
      <c r="X162" s="60" t="s">
        <v>3447</v>
      </c>
      <c r="Y162" s="60" t="s">
        <v>3448</v>
      </c>
      <c r="Z162" s="60" t="s">
        <v>3449</v>
      </c>
      <c r="AA162" s="60" t="s">
        <v>3450</v>
      </c>
      <c r="AB162" s="62" t="s">
        <v>3451</v>
      </c>
    </row>
    <row r="163" spans="1:28" x14ac:dyDescent="0.3">
      <c r="A163" s="85" t="s">
        <v>3452</v>
      </c>
      <c r="B163" s="39" t="str">
        <f t="shared" si="12"/>
        <v>Legalább 1 sor!</v>
      </c>
      <c r="D163" s="59" t="s">
        <v>3453</v>
      </c>
      <c r="E163" s="60" t="s">
        <v>3454</v>
      </c>
      <c r="F163" s="61" t="s">
        <v>3455</v>
      </c>
      <c r="G163" s="61" t="s">
        <v>3456</v>
      </c>
      <c r="H163" s="60" t="s">
        <v>3457</v>
      </c>
      <c r="I163" s="77" t="s">
        <v>3458</v>
      </c>
      <c r="J163" s="60" t="s">
        <v>3459</v>
      </c>
      <c r="K163" s="60" t="s">
        <v>3460</v>
      </c>
      <c r="L163" s="60" t="s">
        <v>3461</v>
      </c>
      <c r="M163" s="60" t="s">
        <v>3462</v>
      </c>
      <c r="N163" s="60"/>
      <c r="O163" s="60" t="s">
        <v>3463</v>
      </c>
      <c r="P163" s="60" t="s">
        <v>3464</v>
      </c>
      <c r="Q163" s="60" t="s">
        <v>3465</v>
      </c>
      <c r="R163" s="60" t="s">
        <v>3466</v>
      </c>
      <c r="S163" s="60" t="s">
        <v>3467</v>
      </c>
      <c r="T163" s="60" t="s">
        <v>3468</v>
      </c>
      <c r="U163" s="60" t="s">
        <v>3469</v>
      </c>
      <c r="V163" s="61" t="s">
        <v>3470</v>
      </c>
      <c r="W163" s="60" t="s">
        <v>3471</v>
      </c>
      <c r="X163" s="60" t="s">
        <v>3472</v>
      </c>
      <c r="Y163" s="60" t="s">
        <v>3473</v>
      </c>
      <c r="Z163" s="60" t="s">
        <v>3474</v>
      </c>
      <c r="AA163" s="60" t="s">
        <v>3475</v>
      </c>
      <c r="AB163" s="62" t="s">
        <v>3476</v>
      </c>
    </row>
    <row r="164" spans="1:28" x14ac:dyDescent="0.3">
      <c r="A164" s="85" t="s">
        <v>3477</v>
      </c>
      <c r="B164" s="39" t="str">
        <f t="shared" si="12"/>
        <v>Faj</v>
      </c>
      <c r="D164" s="59" t="s">
        <v>3478</v>
      </c>
      <c r="E164" s="60" t="s">
        <v>3479</v>
      </c>
      <c r="F164" s="61" t="s">
        <v>3480</v>
      </c>
      <c r="G164" s="61" t="s">
        <v>3480</v>
      </c>
      <c r="H164" s="60" t="s">
        <v>3481</v>
      </c>
      <c r="I164" s="77" t="s">
        <v>3482</v>
      </c>
      <c r="J164" s="60" t="s">
        <v>3483</v>
      </c>
      <c r="K164" s="60" t="s">
        <v>3484</v>
      </c>
      <c r="L164" s="60" t="s">
        <v>3485</v>
      </c>
      <c r="M164" s="60" t="s">
        <v>3486</v>
      </c>
      <c r="N164" s="60"/>
      <c r="O164" s="60" t="s">
        <v>3487</v>
      </c>
      <c r="P164" s="60" t="s">
        <v>3488</v>
      </c>
      <c r="Q164" s="60" t="s">
        <v>3489</v>
      </c>
      <c r="R164" s="60" t="s">
        <v>3490</v>
      </c>
      <c r="S164" s="60" t="s">
        <v>3491</v>
      </c>
      <c r="T164" s="60" t="s">
        <v>3492</v>
      </c>
      <c r="U164" s="60" t="s">
        <v>3493</v>
      </c>
      <c r="V164" s="61" t="s">
        <v>3494</v>
      </c>
      <c r="W164" s="60" t="s">
        <v>3495</v>
      </c>
      <c r="X164" s="60" t="s">
        <v>3496</v>
      </c>
      <c r="Y164" s="60" t="s">
        <v>3479</v>
      </c>
      <c r="Z164" s="60" t="s">
        <v>3487</v>
      </c>
      <c r="AA164" s="60" t="s">
        <v>3497</v>
      </c>
      <c r="AB164" s="62" t="s">
        <v>3497</v>
      </c>
    </row>
    <row r="165" spans="1:28" x14ac:dyDescent="0.3">
      <c r="A165" s="85" t="s">
        <v>3498</v>
      </c>
      <c r="B165" s="39" t="str">
        <f t="shared" si="12"/>
        <v>Érzéstelenítéses-túlaltatásos</v>
      </c>
      <c r="D165" s="59" t="s">
        <v>3499</v>
      </c>
      <c r="E165" s="60" t="s">
        <v>3500</v>
      </c>
      <c r="F165" s="61" t="s">
        <v>3501</v>
      </c>
      <c r="G165" s="61" t="s">
        <v>3502</v>
      </c>
      <c r="H165" s="60" t="s">
        <v>3503</v>
      </c>
      <c r="I165" s="77" t="s">
        <v>3504</v>
      </c>
      <c r="J165" s="60" t="s">
        <v>3505</v>
      </c>
      <c r="K165" s="60" t="s">
        <v>3506</v>
      </c>
      <c r="L165" s="60" t="s">
        <v>3507</v>
      </c>
      <c r="M165" s="60" t="s">
        <v>3508</v>
      </c>
      <c r="N165" s="60"/>
      <c r="O165" s="60" t="s">
        <v>3509</v>
      </c>
      <c r="P165" s="60" t="s">
        <v>3510</v>
      </c>
      <c r="Q165" s="60" t="s">
        <v>3511</v>
      </c>
      <c r="R165" s="60" t="s">
        <v>3512</v>
      </c>
      <c r="S165" s="60" t="s">
        <v>3513</v>
      </c>
      <c r="T165" s="60" t="s">
        <v>3514</v>
      </c>
      <c r="U165" s="60" t="s">
        <v>3515</v>
      </c>
      <c r="V165" s="61" t="s">
        <v>3516</v>
      </c>
      <c r="W165" s="60" t="s">
        <v>3517</v>
      </c>
      <c r="X165" s="60" t="s">
        <v>3518</v>
      </c>
      <c r="Y165" s="60" t="s">
        <v>3519</v>
      </c>
      <c r="Z165" s="60" t="s">
        <v>3509</v>
      </c>
      <c r="AA165" s="60" t="s">
        <v>3501</v>
      </c>
      <c r="AB165" s="62" t="s">
        <v>3501</v>
      </c>
    </row>
    <row r="166" spans="1:28" x14ac:dyDescent="0.3">
      <c r="A166" s="85" t="s">
        <v>3520</v>
      </c>
      <c r="B166" s="39" t="str">
        <f t="shared" si="12"/>
        <v>Enyhe</v>
      </c>
      <c r="D166" s="59" t="s">
        <v>3521</v>
      </c>
      <c r="E166" s="60" t="s">
        <v>3522</v>
      </c>
      <c r="F166" s="61" t="s">
        <v>3523</v>
      </c>
      <c r="G166" s="61" t="s">
        <v>3524</v>
      </c>
      <c r="H166" s="60" t="s">
        <v>3525</v>
      </c>
      <c r="I166" s="77" t="s">
        <v>3526</v>
      </c>
      <c r="J166" s="60" t="s">
        <v>3527</v>
      </c>
      <c r="K166" s="60" t="s">
        <v>3528</v>
      </c>
      <c r="L166" s="60" t="s">
        <v>3529</v>
      </c>
      <c r="M166" s="60" t="s">
        <v>3530</v>
      </c>
      <c r="N166" s="60"/>
      <c r="O166" s="60" t="s">
        <v>3531</v>
      </c>
      <c r="P166" s="60" t="s">
        <v>3532</v>
      </c>
      <c r="Q166" s="60" t="s">
        <v>3533</v>
      </c>
      <c r="R166" s="60" t="s">
        <v>3534</v>
      </c>
      <c r="S166" s="60" t="s">
        <v>3535</v>
      </c>
      <c r="T166" s="60" t="s">
        <v>3536</v>
      </c>
      <c r="U166" s="60" t="s">
        <v>3537</v>
      </c>
      <c r="V166" s="61" t="s">
        <v>3538</v>
      </c>
      <c r="W166" s="60" t="s">
        <v>3539</v>
      </c>
      <c r="X166" s="60" t="s">
        <v>3540</v>
      </c>
      <c r="Y166" s="60" t="s">
        <v>3541</v>
      </c>
      <c r="Z166" s="60" t="s">
        <v>3531</v>
      </c>
      <c r="AA166" s="60" t="s">
        <v>3542</v>
      </c>
      <c r="AB166" s="62" t="s">
        <v>3526</v>
      </c>
    </row>
    <row r="167" spans="1:28" x14ac:dyDescent="0.3">
      <c r="A167" s="85" t="s">
        <v>3543</v>
      </c>
      <c r="B167" s="39" t="str">
        <f t="shared" si="12"/>
        <v>Mérsékelt</v>
      </c>
      <c r="D167" s="59" t="s">
        <v>3544</v>
      </c>
      <c r="E167" s="60" t="s">
        <v>3545</v>
      </c>
      <c r="F167" s="61" t="s">
        <v>3546</v>
      </c>
      <c r="G167" s="61" t="s">
        <v>3547</v>
      </c>
      <c r="H167" s="60" t="s">
        <v>3548</v>
      </c>
      <c r="I167" s="77" t="s">
        <v>3549</v>
      </c>
      <c r="J167" s="60" t="s">
        <v>3550</v>
      </c>
      <c r="K167" s="60" t="s">
        <v>3551</v>
      </c>
      <c r="L167" s="60" t="s">
        <v>3552</v>
      </c>
      <c r="M167" s="60" t="s">
        <v>3553</v>
      </c>
      <c r="N167" s="60"/>
      <c r="O167" s="60" t="s">
        <v>3554</v>
      </c>
      <c r="P167" s="60" t="s">
        <v>3555</v>
      </c>
      <c r="Q167" s="60" t="s">
        <v>3556</v>
      </c>
      <c r="R167" s="60" t="s">
        <v>3557</v>
      </c>
      <c r="S167" s="60" t="s">
        <v>3558</v>
      </c>
      <c r="T167" s="60" t="s">
        <v>3556</v>
      </c>
      <c r="U167" s="60" t="s">
        <v>3559</v>
      </c>
      <c r="V167" s="61" t="s">
        <v>3560</v>
      </c>
      <c r="W167" s="60" t="s">
        <v>3550</v>
      </c>
      <c r="X167" s="60" t="s">
        <v>3561</v>
      </c>
      <c r="Y167" s="60" t="s">
        <v>3562</v>
      </c>
      <c r="Z167" s="60" t="s">
        <v>3563</v>
      </c>
      <c r="AA167" s="60" t="s">
        <v>3564</v>
      </c>
      <c r="AB167" s="62" t="s">
        <v>3546</v>
      </c>
    </row>
    <row r="168" spans="1:28" x14ac:dyDescent="0.3">
      <c r="A168" s="85" t="s">
        <v>3565</v>
      </c>
      <c r="B168" s="39" t="str">
        <f t="shared" si="12"/>
        <v>Súlyos</v>
      </c>
      <c r="D168" s="59" t="s">
        <v>3566</v>
      </c>
      <c r="E168" s="60" t="s">
        <v>3567</v>
      </c>
      <c r="F168" s="61" t="s">
        <v>3568</v>
      </c>
      <c r="G168" s="61" t="s">
        <v>3569</v>
      </c>
      <c r="H168" s="60" t="s">
        <v>3570</v>
      </c>
      <c r="I168" s="77" t="s">
        <v>3571</v>
      </c>
      <c r="J168" s="60" t="s">
        <v>3572</v>
      </c>
      <c r="K168" s="60" t="s">
        <v>3573</v>
      </c>
      <c r="L168" s="60" t="s">
        <v>3574</v>
      </c>
      <c r="M168" s="60" t="s">
        <v>3575</v>
      </c>
      <c r="N168" s="60"/>
      <c r="O168" s="60" t="s">
        <v>3576</v>
      </c>
      <c r="P168" s="60" t="s">
        <v>3577</v>
      </c>
      <c r="Q168" s="60" t="s">
        <v>3578</v>
      </c>
      <c r="R168" s="60" t="s">
        <v>3579</v>
      </c>
      <c r="S168" s="60" t="s">
        <v>3580</v>
      </c>
      <c r="T168" s="60" t="s">
        <v>3581</v>
      </c>
      <c r="U168" s="60" t="s">
        <v>3582</v>
      </c>
      <c r="V168" s="61" t="s">
        <v>3583</v>
      </c>
      <c r="W168" s="60" t="s">
        <v>3581</v>
      </c>
      <c r="X168" s="60" t="s">
        <v>3584</v>
      </c>
      <c r="Y168" s="60" t="s">
        <v>3585</v>
      </c>
      <c r="Z168" s="60" t="s">
        <v>3586</v>
      </c>
      <c r="AA168" s="60" t="s">
        <v>3587</v>
      </c>
      <c r="AB168" s="62" t="s">
        <v>3588</v>
      </c>
    </row>
    <row r="169" spans="1:28" x14ac:dyDescent="0.3">
      <c r="A169" s="85" t="s">
        <v>3589</v>
      </c>
      <c r="B169" s="39" t="str">
        <f t="shared" si="12"/>
        <v>Összesen</v>
      </c>
      <c r="D169" s="59" t="s">
        <v>3590</v>
      </c>
      <c r="E169" s="60" t="s">
        <v>3591</v>
      </c>
      <c r="F169" s="61" t="s">
        <v>3592</v>
      </c>
      <c r="G169" s="61" t="s">
        <v>3593</v>
      </c>
      <c r="H169" s="60" t="s">
        <v>3594</v>
      </c>
      <c r="I169" s="77" t="s">
        <v>3595</v>
      </c>
      <c r="J169" s="60" t="s">
        <v>3596</v>
      </c>
      <c r="K169" s="60" t="s">
        <v>3597</v>
      </c>
      <c r="L169" s="60" t="s">
        <v>3598</v>
      </c>
      <c r="M169" s="60" t="s">
        <v>3599</v>
      </c>
      <c r="N169" s="60"/>
      <c r="O169" s="60" t="s">
        <v>3600</v>
      </c>
      <c r="P169" s="60" t="s">
        <v>3601</v>
      </c>
      <c r="Q169" s="60" t="s">
        <v>3602</v>
      </c>
      <c r="R169" s="60" t="s">
        <v>3603</v>
      </c>
      <c r="S169" s="60" t="s">
        <v>3604</v>
      </c>
      <c r="T169" s="60" t="s">
        <v>3605</v>
      </c>
      <c r="U169" s="60" t="s">
        <v>3606</v>
      </c>
      <c r="V169" s="61" t="s">
        <v>3607</v>
      </c>
      <c r="W169" s="60" t="s">
        <v>3596</v>
      </c>
      <c r="X169" s="60" t="s">
        <v>3608</v>
      </c>
      <c r="Y169" s="60" t="s">
        <v>3591</v>
      </c>
      <c r="Z169" s="60" t="s">
        <v>3609</v>
      </c>
      <c r="AA169" s="60" t="s">
        <v>3610</v>
      </c>
      <c r="AB169" s="62" t="s">
        <v>3611</v>
      </c>
    </row>
    <row r="170" spans="1:28" x14ac:dyDescent="0.3">
      <c r="A170" s="85" t="s">
        <v>3612</v>
      </c>
      <c r="B170" s="39" t="str">
        <f t="shared" si="12"/>
        <v>Ismételten felhasznált</v>
      </c>
      <c r="D170" s="59" t="s">
        <v>3613</v>
      </c>
      <c r="E170" s="60" t="s">
        <v>3614</v>
      </c>
      <c r="F170" s="61" t="s">
        <v>3615</v>
      </c>
      <c r="G170" s="61" t="s">
        <v>3616</v>
      </c>
      <c r="H170" s="60" t="s">
        <v>3617</v>
      </c>
      <c r="I170" s="77" t="s">
        <v>3618</v>
      </c>
      <c r="J170" s="60" t="s">
        <v>3619</v>
      </c>
      <c r="K170" s="60" t="s">
        <v>3620</v>
      </c>
      <c r="L170" s="60" t="s">
        <v>3621</v>
      </c>
      <c r="M170" s="60" t="s">
        <v>3622</v>
      </c>
      <c r="N170" s="60"/>
      <c r="O170" s="60" t="s">
        <v>3623</v>
      </c>
      <c r="P170" s="60" t="s">
        <v>3624</v>
      </c>
      <c r="Q170" s="60" t="s">
        <v>3625</v>
      </c>
      <c r="R170" s="60" t="s">
        <v>3626</v>
      </c>
      <c r="S170" s="60" t="s">
        <v>3627</v>
      </c>
      <c r="T170" s="60" t="s">
        <v>3628</v>
      </c>
      <c r="U170" s="60" t="s">
        <v>3629</v>
      </c>
      <c r="V170" s="61" t="s">
        <v>3630</v>
      </c>
      <c r="W170" s="60" t="s">
        <v>3631</v>
      </c>
      <c r="X170" s="60" t="s">
        <v>3632</v>
      </c>
      <c r="Y170" s="60" t="s">
        <v>3633</v>
      </c>
      <c r="Z170" s="60" t="s">
        <v>3634</v>
      </c>
      <c r="AA170" s="60" t="s">
        <v>3635</v>
      </c>
      <c r="AB170" s="62" t="s">
        <v>3636</v>
      </c>
    </row>
    <row r="171" spans="1:28" x14ac:dyDescent="0.3">
      <c r="A171" s="85" t="s">
        <v>3637</v>
      </c>
      <c r="B171" s="39" t="str">
        <f t="shared" si="12"/>
        <v>Visszajuttatott</v>
      </c>
      <c r="D171" s="59" t="s">
        <v>3638</v>
      </c>
      <c r="E171" s="60" t="s">
        <v>3639</v>
      </c>
      <c r="F171" s="61" t="s">
        <v>3640</v>
      </c>
      <c r="G171" s="61" t="s">
        <v>3641</v>
      </c>
      <c r="H171" s="60" t="s">
        <v>3642</v>
      </c>
      <c r="I171" s="77" t="s">
        <v>3643</v>
      </c>
      <c r="J171" s="60" t="s">
        <v>3644</v>
      </c>
      <c r="K171" s="60" t="s">
        <v>3645</v>
      </c>
      <c r="L171" s="60" t="s">
        <v>3646</v>
      </c>
      <c r="M171" s="60" t="s">
        <v>3647</v>
      </c>
      <c r="N171" s="60"/>
      <c r="O171" s="60" t="s">
        <v>3648</v>
      </c>
      <c r="P171" s="60" t="s">
        <v>3649</v>
      </c>
      <c r="Q171" s="60" t="s">
        <v>3650</v>
      </c>
      <c r="R171" s="60" t="s">
        <v>3651</v>
      </c>
      <c r="S171" s="60" t="s">
        <v>3652</v>
      </c>
      <c r="T171" s="60" t="s">
        <v>3653</v>
      </c>
      <c r="U171" s="60" t="s">
        <v>3654</v>
      </c>
      <c r="V171" s="61" t="s">
        <v>3655</v>
      </c>
      <c r="W171" s="60" t="s">
        <v>3656</v>
      </c>
      <c r="X171" s="60" t="s">
        <v>3657</v>
      </c>
      <c r="Y171" s="60" t="s">
        <v>3658</v>
      </c>
      <c r="Z171" s="60" t="s">
        <v>3659</v>
      </c>
      <c r="AA171" s="60" t="s">
        <v>3660</v>
      </c>
      <c r="AB171" s="62" t="s">
        <v>3661</v>
      </c>
    </row>
    <row r="172" spans="1:28" x14ac:dyDescent="0.3">
      <c r="A172" s="85" t="s">
        <v>3662</v>
      </c>
      <c r="B172" s="39" t="str">
        <f t="shared" si="12"/>
        <v>Kihelyezett</v>
      </c>
      <c r="D172" s="59" t="s">
        <v>3663</v>
      </c>
      <c r="E172" s="60" t="s">
        <v>3664</v>
      </c>
      <c r="F172" s="61" t="s">
        <v>3665</v>
      </c>
      <c r="G172" s="61" t="s">
        <v>3666</v>
      </c>
      <c r="H172" s="60" t="s">
        <v>3667</v>
      </c>
      <c r="I172" s="77" t="s">
        <v>3668</v>
      </c>
      <c r="J172" s="60" t="s">
        <v>3669</v>
      </c>
      <c r="K172" s="60" t="s">
        <v>3670</v>
      </c>
      <c r="L172" s="60" t="s">
        <v>3671</v>
      </c>
      <c r="M172" s="60" t="s">
        <v>3672</v>
      </c>
      <c r="N172" s="60"/>
      <c r="O172" s="60" t="s">
        <v>3673</v>
      </c>
      <c r="P172" s="60" t="s">
        <v>3674</v>
      </c>
      <c r="Q172" s="60" t="s">
        <v>3675</v>
      </c>
      <c r="R172" s="60" t="s">
        <v>3676</v>
      </c>
      <c r="S172" s="60" t="s">
        <v>3677</v>
      </c>
      <c r="T172" s="60" t="s">
        <v>3678</v>
      </c>
      <c r="U172" s="60" t="s">
        <v>3679</v>
      </c>
      <c r="V172" s="61" t="s">
        <v>3680</v>
      </c>
      <c r="W172" s="60" t="s">
        <v>3669</v>
      </c>
      <c r="X172" s="60" t="s">
        <v>3681</v>
      </c>
      <c r="Y172" s="60" t="s">
        <v>3682</v>
      </c>
      <c r="Z172" s="60" t="s">
        <v>3683</v>
      </c>
      <c r="AA172" s="60" t="s">
        <v>3684</v>
      </c>
      <c r="AB172" s="62" t="s">
        <v>3685</v>
      </c>
    </row>
    <row r="173" spans="1:28" x14ac:dyDescent="0.3">
      <c r="A173" s="85" t="s">
        <v>3686</v>
      </c>
      <c r="B173" s="39" t="str">
        <f t="shared" si="12"/>
        <v>Ismertesse a projekt célkitűzéseit (például bizonyos tudományos ismeretek megszerzése, tudományos vagy klinikai szükségletek kielégítése)!</v>
      </c>
      <c r="D173" s="59" t="s">
        <v>3687</v>
      </c>
      <c r="E173" s="60" t="s">
        <v>3688</v>
      </c>
      <c r="F173" s="61" t="s">
        <v>3689</v>
      </c>
      <c r="G173" s="61" t="s">
        <v>3690</v>
      </c>
      <c r="H173" s="60" t="s">
        <v>3691</v>
      </c>
      <c r="I173" s="77" t="s">
        <v>3692</v>
      </c>
      <c r="J173" s="60" t="s">
        <v>3693</v>
      </c>
      <c r="K173" s="60" t="s">
        <v>3694</v>
      </c>
      <c r="L173" s="60" t="s">
        <v>3695</v>
      </c>
      <c r="M173" s="60" t="s">
        <v>3696</v>
      </c>
      <c r="N173" s="60"/>
      <c r="O173" s="60" t="s">
        <v>3697</v>
      </c>
      <c r="P173" s="60" t="s">
        <v>3698</v>
      </c>
      <c r="Q173" s="60" t="s">
        <v>3699</v>
      </c>
      <c r="R173" s="60" t="s">
        <v>3700</v>
      </c>
      <c r="S173" s="60" t="s">
        <v>3701</v>
      </c>
      <c r="T173" s="60" t="s">
        <v>3702</v>
      </c>
      <c r="U173" s="60" t="s">
        <v>3703</v>
      </c>
      <c r="V173" s="61" t="s">
        <v>3704</v>
      </c>
      <c r="W173" s="60" t="s">
        <v>3705</v>
      </c>
      <c r="X173" s="60" t="s">
        <v>3706</v>
      </c>
      <c r="Y173" s="60" t="s">
        <v>3707</v>
      </c>
      <c r="Z173" s="60" t="s">
        <v>3708</v>
      </c>
      <c r="AA173" s="60" t="s">
        <v>3709</v>
      </c>
      <c r="AB173" s="62" t="s">
        <v>3710</v>
      </c>
    </row>
    <row r="174" spans="1:28" x14ac:dyDescent="0.3">
      <c r="A174" s="85" t="s">
        <v>3711</v>
      </c>
      <c r="B174" s="39" t="str">
        <f t="shared" si="12"/>
        <v>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v>
      </c>
      <c r="D174" s="59" t="s">
        <v>3712</v>
      </c>
      <c r="E174" s="60" t="s">
        <v>3713</v>
      </c>
      <c r="F174" s="61" t="s">
        <v>3714</v>
      </c>
      <c r="G174" s="61" t="s">
        <v>3715</v>
      </c>
      <c r="H174" s="60" t="s">
        <v>3716</v>
      </c>
      <c r="I174" s="77" t="s">
        <v>3717</v>
      </c>
      <c r="J174" s="60" t="s">
        <v>3718</v>
      </c>
      <c r="K174" s="60" t="s">
        <v>3719</v>
      </c>
      <c r="L174" s="60" t="s">
        <v>3720</v>
      </c>
      <c r="M174" s="60" t="s">
        <v>3721</v>
      </c>
      <c r="N174" s="60"/>
      <c r="O174" s="60" t="s">
        <v>3722</v>
      </c>
      <c r="P174" s="60" t="s">
        <v>3723</v>
      </c>
      <c r="Q174" s="61" t="s">
        <v>3724</v>
      </c>
      <c r="R174" s="60" t="s">
        <v>3725</v>
      </c>
      <c r="S174" s="60" t="s">
        <v>3726</v>
      </c>
      <c r="T174" s="60" t="s">
        <v>3727</v>
      </c>
      <c r="U174" s="60" t="s">
        <v>3728</v>
      </c>
      <c r="V174" s="61" t="s">
        <v>3729</v>
      </c>
      <c r="W174" s="60" t="s">
        <v>3730</v>
      </c>
      <c r="X174" s="60" t="s">
        <v>3731</v>
      </c>
      <c r="Y174" s="60" t="s">
        <v>3732</v>
      </c>
      <c r="Z174" s="60" t="s">
        <v>3733</v>
      </c>
      <c r="AA174" s="60" t="s">
        <v>3734</v>
      </c>
      <c r="AB174" s="62" t="s">
        <v>3735</v>
      </c>
    </row>
    <row r="175" spans="1:28" x14ac:dyDescent="0.3">
      <c r="A175" s="85" t="s">
        <v>3736</v>
      </c>
      <c r="B175" s="39" t="str">
        <f t="shared" ref="B175:B206" si="13">IF(TRIM(HLOOKUP(language_or_default,textTranslations,MATCH(A175,text,0),0))="",HLOOKUP("en",textTranslations,MATCH(A175,text,0),0),HLOOKUP(language_or_default,textTranslations,MATCH(A175,text,0),0))</f>
        <v>Milyen eljárásoknak vetik alá az állatokat (pl. injekciók, sebészeti beavatkozások)? Adja meg ezen eljárások számát és időtartamát!</v>
      </c>
      <c r="D175" s="59" t="s">
        <v>3737</v>
      </c>
      <c r="E175" s="60" t="s">
        <v>3738</v>
      </c>
      <c r="F175" s="61" t="s">
        <v>3739</v>
      </c>
      <c r="G175" s="61" t="s">
        <v>3740</v>
      </c>
      <c r="H175" s="60" t="s">
        <v>3741</v>
      </c>
      <c r="I175" s="77" t="s">
        <v>3742</v>
      </c>
      <c r="J175" s="60" t="s">
        <v>3743</v>
      </c>
      <c r="K175" s="60" t="s">
        <v>3744</v>
      </c>
      <c r="L175" s="60" t="s">
        <v>3745</v>
      </c>
      <c r="M175" s="60" t="s">
        <v>3746</v>
      </c>
      <c r="N175" s="60"/>
      <c r="O175" s="60" t="s">
        <v>3747</v>
      </c>
      <c r="P175" s="60" t="s">
        <v>3748</v>
      </c>
      <c r="Q175" s="60" t="s">
        <v>3749</v>
      </c>
      <c r="R175" s="60" t="s">
        <v>3750</v>
      </c>
      <c r="S175" s="60" t="s">
        <v>3751</v>
      </c>
      <c r="T175" s="60" t="s">
        <v>3752</v>
      </c>
      <c r="U175" s="60" t="s">
        <v>3753</v>
      </c>
      <c r="V175" s="61" t="s">
        <v>3754</v>
      </c>
      <c r="W175" s="60" t="s">
        <v>3755</v>
      </c>
      <c r="X175" s="60" t="s">
        <v>3756</v>
      </c>
      <c r="Y175" s="60" t="s">
        <v>3757</v>
      </c>
      <c r="Z175" s="60" t="s">
        <v>3758</v>
      </c>
      <c r="AA175" s="60" t="s">
        <v>3759</v>
      </c>
      <c r="AB175" s="62" t="s">
        <v>3760</v>
      </c>
    </row>
    <row r="176" spans="1:28" x14ac:dyDescent="0.3">
      <c r="A176" s="85" t="s">
        <v>3761</v>
      </c>
      <c r="B176" s="39" t="str">
        <f t="shared" si="13"/>
        <v>Melyek az állatokra gyakorolt várható hatások/káros hatások, például fájdalom, súlyveszteség, inaktivitás/csökkent mozgásképesség, stressz, rendellenes viselkedés, és mekkora e hatások időtartama?</v>
      </c>
      <c r="D176" s="59" t="s">
        <v>3762</v>
      </c>
      <c r="E176" s="60" t="s">
        <v>3763</v>
      </c>
      <c r="F176" s="61" t="s">
        <v>3764</v>
      </c>
      <c r="G176" s="61" t="s">
        <v>3765</v>
      </c>
      <c r="H176" s="60" t="s">
        <v>3766</v>
      </c>
      <c r="I176" s="77" t="s">
        <v>3767</v>
      </c>
      <c r="J176" s="60" t="s">
        <v>3768</v>
      </c>
      <c r="K176" s="60" t="s">
        <v>3769</v>
      </c>
      <c r="L176" s="60" t="s">
        <v>3770</v>
      </c>
      <c r="M176" s="60" t="s">
        <v>3771</v>
      </c>
      <c r="N176" s="60"/>
      <c r="O176" s="60" t="s">
        <v>3772</v>
      </c>
      <c r="P176" s="60" t="s">
        <v>3773</v>
      </c>
      <c r="Q176" s="60" t="s">
        <v>3774</v>
      </c>
      <c r="R176" s="60" t="s">
        <v>3775</v>
      </c>
      <c r="S176" s="60" t="s">
        <v>3776</v>
      </c>
      <c r="T176" s="60" t="s">
        <v>3777</v>
      </c>
      <c r="U176" s="60" t="s">
        <v>3778</v>
      </c>
      <c r="V176" s="61" t="s">
        <v>3779</v>
      </c>
      <c r="W176" s="60" t="s">
        <v>3780</v>
      </c>
      <c r="X176" s="60" t="s">
        <v>3781</v>
      </c>
      <c r="Y176" s="60" t="s">
        <v>3782</v>
      </c>
      <c r="Z176" s="60" t="s">
        <v>3783</v>
      </c>
      <c r="AA176" s="60" t="s">
        <v>3784</v>
      </c>
      <c r="AB176" s="62" t="s">
        <v>3785</v>
      </c>
    </row>
    <row r="177" spans="1:28" x14ac:dyDescent="0.3">
      <c r="A177" s="85" t="s">
        <v>3786</v>
      </c>
      <c r="B177" s="39" t="str">
        <f t="shared" si="13"/>
        <v>Milyen fajokat és mennyi állatot fognak várhatóan használni? Mik a várható súlyossági kategóriák és hány állat esik egy-egy kategóriába (fajonként)?</v>
      </c>
      <c r="D177" s="59" t="s">
        <v>3787</v>
      </c>
      <c r="E177" s="60" t="s">
        <v>3788</v>
      </c>
      <c r="F177" s="61" t="s">
        <v>3789</v>
      </c>
      <c r="G177" s="61" t="s">
        <v>3790</v>
      </c>
      <c r="H177" s="60" t="s">
        <v>3791</v>
      </c>
      <c r="I177" s="77" t="s">
        <v>3792</v>
      </c>
      <c r="J177" s="60" t="s">
        <v>3793</v>
      </c>
      <c r="K177" s="60" t="s">
        <v>3794</v>
      </c>
      <c r="L177" s="60" t="s">
        <v>3795</v>
      </c>
      <c r="M177" s="60" t="s">
        <v>3796</v>
      </c>
      <c r="N177" s="60"/>
      <c r="O177" s="60" t="s">
        <v>3797</v>
      </c>
      <c r="P177" s="60" t="s">
        <v>3798</v>
      </c>
      <c r="Q177" s="60" t="s">
        <v>3799</v>
      </c>
      <c r="R177" s="60" t="s">
        <v>3800</v>
      </c>
      <c r="S177" s="60" t="s">
        <v>3801</v>
      </c>
      <c r="T177" s="60" t="s">
        <v>3802</v>
      </c>
      <c r="U177" s="60" t="s">
        <v>3803</v>
      </c>
      <c r="V177" s="61" t="s">
        <v>3804</v>
      </c>
      <c r="W177" s="60" t="s">
        <v>3805</v>
      </c>
      <c r="X177" s="60" t="s">
        <v>3806</v>
      </c>
      <c r="Y177" s="60" t="s">
        <v>3807</v>
      </c>
      <c r="Z177" s="60" t="s">
        <v>3808</v>
      </c>
      <c r="AA177" s="60" t="s">
        <v>3809</v>
      </c>
      <c r="AB177" s="62" t="s">
        <v>3810</v>
      </c>
    </row>
    <row r="178" spans="1:28" x14ac:dyDescent="0.3">
      <c r="A178" s="85" t="s">
        <v>3811</v>
      </c>
      <c r="B178" s="39" t="str">
        <f t="shared" si="13"/>
        <v>Mi történik az eljárás végén életben maradt állatokkal?</v>
      </c>
      <c r="D178" s="59" t="s">
        <v>3812</v>
      </c>
      <c r="E178" s="60" t="s">
        <v>3813</v>
      </c>
      <c r="F178" s="61" t="s">
        <v>3814</v>
      </c>
      <c r="G178" s="61" t="s">
        <v>3815</v>
      </c>
      <c r="H178" s="60" t="s">
        <v>3816</v>
      </c>
      <c r="I178" s="77" t="s">
        <v>3817</v>
      </c>
      <c r="J178" s="60" t="s">
        <v>3818</v>
      </c>
      <c r="K178" s="60" t="s">
        <v>3819</v>
      </c>
      <c r="L178" s="60" t="s">
        <v>3820</v>
      </c>
      <c r="M178" s="60" t="s">
        <v>3821</v>
      </c>
      <c r="N178" s="60"/>
      <c r="O178" s="60" t="s">
        <v>3822</v>
      </c>
      <c r="P178" s="60" t="s">
        <v>3823</v>
      </c>
      <c r="Q178" s="60" t="s">
        <v>3824</v>
      </c>
      <c r="R178" s="60" t="s">
        <v>3825</v>
      </c>
      <c r="S178" s="60" t="s">
        <v>3826</v>
      </c>
      <c r="T178" s="60" t="s">
        <v>3827</v>
      </c>
      <c r="U178" s="60" t="s">
        <v>3828</v>
      </c>
      <c r="V178" s="61" t="s">
        <v>3829</v>
      </c>
      <c r="W178" s="60" t="s">
        <v>3830</v>
      </c>
      <c r="X178" s="60" t="s">
        <v>3831</v>
      </c>
      <c r="Y178" s="60" t="s">
        <v>3832</v>
      </c>
      <c r="Z178" s="60" t="s">
        <v>3833</v>
      </c>
      <c r="AA178" s="60" t="s">
        <v>3834</v>
      </c>
      <c r="AB178" s="62" t="s">
        <v>3835</v>
      </c>
    </row>
    <row r="179" spans="1:28" x14ac:dyDescent="0.3">
      <c r="A179" s="85" t="s">
        <v>3836</v>
      </c>
      <c r="B179" s="39" t="str">
        <f t="shared" si="13"/>
        <v>Kérjük, indokolja meg az állatok tervezett sorsát az eljárás után!</v>
      </c>
      <c r="D179" s="59" t="s">
        <v>3837</v>
      </c>
      <c r="E179" s="60" t="s">
        <v>3838</v>
      </c>
      <c r="F179" s="61" t="s">
        <v>3839</v>
      </c>
      <c r="G179" s="61" t="s">
        <v>3840</v>
      </c>
      <c r="H179" s="60" t="s">
        <v>3841</v>
      </c>
      <c r="I179" s="77" t="s">
        <v>3842</v>
      </c>
      <c r="J179" s="60" t="s">
        <v>3843</v>
      </c>
      <c r="K179" s="60" t="s">
        <v>3844</v>
      </c>
      <c r="L179" s="60" t="s">
        <v>3845</v>
      </c>
      <c r="M179" s="60" t="s">
        <v>3846</v>
      </c>
      <c r="N179" s="60"/>
      <c r="O179" s="60" t="s">
        <v>3847</v>
      </c>
      <c r="P179" s="60" t="s">
        <v>2940</v>
      </c>
      <c r="Q179" s="60" t="s">
        <v>3848</v>
      </c>
      <c r="R179" s="60" t="s">
        <v>3849</v>
      </c>
      <c r="S179" s="60" t="s">
        <v>3850</v>
      </c>
      <c r="T179" s="60" t="s">
        <v>3851</v>
      </c>
      <c r="U179" s="60" t="s">
        <v>3852</v>
      </c>
      <c r="V179" s="61" t="s">
        <v>3853</v>
      </c>
      <c r="W179" s="60" t="s">
        <v>3854</v>
      </c>
      <c r="X179" s="60" t="s">
        <v>3855</v>
      </c>
      <c r="Y179" s="60" t="s">
        <v>3856</v>
      </c>
      <c r="Z179" s="60" t="s">
        <v>3857</v>
      </c>
      <c r="AA179" s="60" t="s">
        <v>3858</v>
      </c>
      <c r="AB179" s="62" t="s">
        <v>3859</v>
      </c>
    </row>
    <row r="180" spans="1:28" x14ac:dyDescent="0.3">
      <c r="A180" s="85" t="s">
        <v>3860</v>
      </c>
      <c r="B180" s="39" t="str">
        <f t="shared" si="13"/>
        <v>Az adott területen milyen, állatok felhasználását nem igénylő alternatívák állnak rendelkezésre, és miért nem használhatók e projekt céljaira?</v>
      </c>
      <c r="D180" s="59" t="s">
        <v>3861</v>
      </c>
      <c r="E180" s="60" t="s">
        <v>3862</v>
      </c>
      <c r="F180" s="61" t="s">
        <v>3863</v>
      </c>
      <c r="G180" s="61" t="s">
        <v>3864</v>
      </c>
      <c r="H180" s="60" t="s">
        <v>3865</v>
      </c>
      <c r="I180" s="77" t="s">
        <v>3866</v>
      </c>
      <c r="J180" s="60" t="s">
        <v>3867</v>
      </c>
      <c r="K180" s="60" t="s">
        <v>3868</v>
      </c>
      <c r="L180" s="60" t="s">
        <v>3869</v>
      </c>
      <c r="M180" s="60" t="s">
        <v>3870</v>
      </c>
      <c r="N180" s="60"/>
      <c r="O180" s="60" t="s">
        <v>3871</v>
      </c>
      <c r="P180" s="60" t="s">
        <v>3872</v>
      </c>
      <c r="Q180" s="60" t="s">
        <v>3873</v>
      </c>
      <c r="R180" s="60" t="s">
        <v>3874</v>
      </c>
      <c r="S180" s="60" t="s">
        <v>3875</v>
      </c>
      <c r="T180" s="60" t="s">
        <v>3876</v>
      </c>
      <c r="U180" s="60" t="s">
        <v>3877</v>
      </c>
      <c r="V180" s="61" t="s">
        <v>3878</v>
      </c>
      <c r="W180" s="60" t="s">
        <v>3879</v>
      </c>
      <c r="X180" s="60" t="s">
        <v>3880</v>
      </c>
      <c r="Y180" s="60" t="s">
        <v>3881</v>
      </c>
      <c r="Z180" s="60" t="s">
        <v>3882</v>
      </c>
      <c r="AA180" s="60" t="s">
        <v>3883</v>
      </c>
      <c r="AB180" s="62" t="s">
        <v>3884</v>
      </c>
    </row>
    <row r="181" spans="1:28" x14ac:dyDescent="0.3">
      <c r="A181" s="85" t="s">
        <v>3885</v>
      </c>
      <c r="B181" s="39" t="str">
        <f t="shared" si="13"/>
        <v>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v>
      </c>
      <c r="D181" s="59" t="s">
        <v>3886</v>
      </c>
      <c r="E181" s="60" t="s">
        <v>3887</v>
      </c>
      <c r="F181" s="61" t="s">
        <v>3888</v>
      </c>
      <c r="G181" s="61" t="s">
        <v>3889</v>
      </c>
      <c r="H181" s="60" t="s">
        <v>3890</v>
      </c>
      <c r="I181" s="77" t="s">
        <v>3891</v>
      </c>
      <c r="J181" s="60" t="s">
        <v>3892</v>
      </c>
      <c r="K181" s="60" t="s">
        <v>3893</v>
      </c>
      <c r="L181" s="60" t="s">
        <v>3894</v>
      </c>
      <c r="M181" s="60" t="s">
        <v>3895</v>
      </c>
      <c r="N181" s="60"/>
      <c r="O181" s="60" t="s">
        <v>3896</v>
      </c>
      <c r="P181" s="60" t="s">
        <v>3897</v>
      </c>
      <c r="Q181" s="61" t="s">
        <v>3898</v>
      </c>
      <c r="R181" s="60" t="s">
        <v>3899</v>
      </c>
      <c r="S181" s="60" t="s">
        <v>3900</v>
      </c>
      <c r="T181" s="60" t="s">
        <v>3901</v>
      </c>
      <c r="U181" s="60" t="s">
        <v>3902</v>
      </c>
      <c r="V181" s="61" t="s">
        <v>3903</v>
      </c>
      <c r="W181" s="60" t="s">
        <v>3904</v>
      </c>
      <c r="X181" s="60" t="s">
        <v>3905</v>
      </c>
      <c r="Y181" s="60" t="s">
        <v>3906</v>
      </c>
      <c r="Z181" s="60" t="s">
        <v>3907</v>
      </c>
      <c r="AA181" s="60" t="s">
        <v>3908</v>
      </c>
      <c r="AB181" s="62" t="s">
        <v>3909</v>
      </c>
    </row>
    <row r="182" spans="1:28" x14ac:dyDescent="0.3">
      <c r="A182" s="85" t="s">
        <v>3910</v>
      </c>
      <c r="B182" s="39" t="str">
        <f t="shared" si="13"/>
        <v>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v>
      </c>
      <c r="D182" s="59" t="s">
        <v>3911</v>
      </c>
      <c r="E182" s="60" t="s">
        <v>3912</v>
      </c>
      <c r="F182" s="61" t="s">
        <v>3913</v>
      </c>
      <c r="G182" s="61" t="s">
        <v>3914</v>
      </c>
      <c r="H182" s="60" t="s">
        <v>3915</v>
      </c>
      <c r="I182" s="77" t="s">
        <v>3916</v>
      </c>
      <c r="J182" s="60" t="s">
        <v>3917</v>
      </c>
      <c r="K182" s="60" t="s">
        <v>3918</v>
      </c>
      <c r="L182" s="60" t="s">
        <v>3919</v>
      </c>
      <c r="M182" s="60" t="s">
        <v>3920</v>
      </c>
      <c r="N182" s="60"/>
      <c r="O182" s="60" t="s">
        <v>3921</v>
      </c>
      <c r="P182" s="60" t="s">
        <v>3922</v>
      </c>
      <c r="Q182" s="61" t="s">
        <v>3923</v>
      </c>
      <c r="R182" s="60" t="s">
        <v>3924</v>
      </c>
      <c r="S182" s="60" t="s">
        <v>3925</v>
      </c>
      <c r="T182" s="60" t="s">
        <v>3926</v>
      </c>
      <c r="U182" s="60" t="s">
        <v>3927</v>
      </c>
      <c r="V182" s="61" t="s">
        <v>3928</v>
      </c>
      <c r="W182" s="60" t="s">
        <v>3929</v>
      </c>
      <c r="X182" s="60" t="s">
        <v>3930</v>
      </c>
      <c r="Y182" s="60" t="s">
        <v>3931</v>
      </c>
      <c r="Z182" s="60" t="s">
        <v>3932</v>
      </c>
      <c r="AA182" s="60" t="s">
        <v>3933</v>
      </c>
      <c r="AB182" s="62" t="s">
        <v>3934</v>
      </c>
    </row>
    <row r="183" spans="1:28" x14ac:dyDescent="0.3">
      <c r="A183" s="85" t="s">
        <v>3935</v>
      </c>
      <c r="B183" s="39" t="str">
        <f t="shared" si="13"/>
        <v>Becsült számok súlyosságonként</v>
      </c>
      <c r="D183" s="59" t="s">
        <v>3936</v>
      </c>
      <c r="E183" s="60" t="s">
        <v>3937</v>
      </c>
      <c r="F183" s="61" t="s">
        <v>3938</v>
      </c>
      <c r="G183" s="61" t="s">
        <v>3939</v>
      </c>
      <c r="H183" s="60" t="s">
        <v>3940</v>
      </c>
      <c r="I183" s="77" t="s">
        <v>3941</v>
      </c>
      <c r="J183" s="60" t="s">
        <v>3942</v>
      </c>
      <c r="K183" s="60" t="s">
        <v>3943</v>
      </c>
      <c r="L183" s="60" t="s">
        <v>3944</v>
      </c>
      <c r="M183" s="60" t="s">
        <v>3945</v>
      </c>
      <c r="N183" s="60"/>
      <c r="O183" s="60" t="s">
        <v>3946</v>
      </c>
      <c r="P183" s="60" t="s">
        <v>3947</v>
      </c>
      <c r="Q183" s="60" t="s">
        <v>3948</v>
      </c>
      <c r="R183" s="60" t="s">
        <v>3949</v>
      </c>
      <c r="S183" s="60" t="s">
        <v>3950</v>
      </c>
      <c r="T183" s="60" t="s">
        <v>3951</v>
      </c>
      <c r="U183" s="60" t="s">
        <v>3952</v>
      </c>
      <c r="V183" s="61" t="s">
        <v>3953</v>
      </c>
      <c r="W183" s="60" t="s">
        <v>3954</v>
      </c>
      <c r="X183" s="60" t="s">
        <v>3955</v>
      </c>
      <c r="Y183" s="60" t="s">
        <v>3956</v>
      </c>
      <c r="Z183" s="60" t="s">
        <v>3957</v>
      </c>
      <c r="AA183" s="60" t="s">
        <v>3958</v>
      </c>
      <c r="AB183" s="62" t="s">
        <v>3959</v>
      </c>
    </row>
    <row r="184" spans="1:28" x14ac:dyDescent="0.3">
      <c r="A184" s="85" t="s">
        <v>3960</v>
      </c>
      <c r="B184" s="39" t="str">
        <f t="shared" si="13"/>
        <v>Az ismételt felhasználásra, megfelelő élőhelyre vagy állattartási rendszerbe való visszajuttatásra vagy kihelyezésre szánt állatok becsült száma</v>
      </c>
      <c r="D184" s="59" t="s">
        <v>3961</v>
      </c>
      <c r="E184" s="60" t="s">
        <v>3962</v>
      </c>
      <c r="F184" s="61" t="s">
        <v>3963</v>
      </c>
      <c r="G184" s="61" t="s">
        <v>3964</v>
      </c>
      <c r="H184" s="60" t="s">
        <v>3965</v>
      </c>
      <c r="I184" s="77" t="s">
        <v>3966</v>
      </c>
      <c r="J184" s="60" t="s">
        <v>3967</v>
      </c>
      <c r="K184" s="60" t="s">
        <v>3968</v>
      </c>
      <c r="L184" s="60" t="s">
        <v>3969</v>
      </c>
      <c r="M184" s="60" t="s">
        <v>3970</v>
      </c>
      <c r="N184" s="60"/>
      <c r="O184" s="60" t="s">
        <v>3971</v>
      </c>
      <c r="P184" s="60" t="s">
        <v>3972</v>
      </c>
      <c r="Q184" s="60" t="s">
        <v>3973</v>
      </c>
      <c r="R184" s="60" t="s">
        <v>3974</v>
      </c>
      <c r="S184" s="60" t="s">
        <v>3975</v>
      </c>
      <c r="T184" s="60" t="s">
        <v>3976</v>
      </c>
      <c r="U184" s="60" t="s">
        <v>3977</v>
      </c>
      <c r="V184" s="61" t="s">
        <v>3978</v>
      </c>
      <c r="W184" s="60" t="s">
        <v>3979</v>
      </c>
      <c r="X184" s="60" t="s">
        <v>3980</v>
      </c>
      <c r="Y184" s="60" t="s">
        <v>3981</v>
      </c>
      <c r="Z184" s="60" t="s">
        <v>3982</v>
      </c>
      <c r="AA184" s="60" t="s">
        <v>3983</v>
      </c>
      <c r="AB184" s="62" t="s">
        <v>3984</v>
      </c>
    </row>
    <row r="185" spans="1:28" x14ac:dyDescent="0.3">
      <c r="A185" s="85" t="s">
        <v>3985</v>
      </c>
      <c r="B185" s="39" t="str">
        <f t="shared" si="13"/>
        <v>Kötelezően kitöltendő!</v>
      </c>
      <c r="D185" s="59" t="s">
        <v>3986</v>
      </c>
      <c r="E185" s="60" t="s">
        <v>3987</v>
      </c>
      <c r="F185" s="61" t="s">
        <v>3988</v>
      </c>
      <c r="G185" s="61" t="s">
        <v>3989</v>
      </c>
      <c r="H185" s="60" t="s">
        <v>3990</v>
      </c>
      <c r="I185" s="77" t="s">
        <v>3991</v>
      </c>
      <c r="J185" s="60" t="s">
        <v>3992</v>
      </c>
      <c r="K185" s="60" t="s">
        <v>3993</v>
      </c>
      <c r="L185" s="60" t="s">
        <v>3994</v>
      </c>
      <c r="M185" s="60" t="s">
        <v>3995</v>
      </c>
      <c r="N185" s="60"/>
      <c r="O185" s="60" t="s">
        <v>3996</v>
      </c>
      <c r="P185" s="60" t="s">
        <v>3997</v>
      </c>
      <c r="Q185" s="60" t="s">
        <v>3998</v>
      </c>
      <c r="R185" s="60" t="s">
        <v>3999</v>
      </c>
      <c r="S185" s="60" t="s">
        <v>4000</v>
      </c>
      <c r="T185" s="60" t="s">
        <v>4001</v>
      </c>
      <c r="U185" s="60" t="s">
        <v>4002</v>
      </c>
      <c r="V185" s="61" t="s">
        <v>4003</v>
      </c>
      <c r="W185" s="60" t="s">
        <v>4004</v>
      </c>
      <c r="X185" s="60" t="s">
        <v>4005</v>
      </c>
      <c r="Y185" s="60" t="s">
        <v>4006</v>
      </c>
      <c r="Z185" s="60" t="s">
        <v>3996</v>
      </c>
      <c r="AA185" s="60" t="s">
        <v>4007</v>
      </c>
      <c r="AB185" s="62" t="s">
        <v>4008</v>
      </c>
    </row>
    <row r="186" spans="1:28" x14ac:dyDescent="0.3">
      <c r="A186" s="85" t="s">
        <v>4009</v>
      </c>
      <c r="B186" s="39" t="str">
        <f t="shared" si="13"/>
        <v>Azokban a tagállamokban alkalmazandó, ahol a szabályozás megköveteli ezen információ megadását.</v>
      </c>
      <c r="D186" s="59" t="s">
        <v>4010</v>
      </c>
      <c r="E186" s="60" t="s">
        <v>4011</v>
      </c>
      <c r="F186" s="61" t="s">
        <v>4012</v>
      </c>
      <c r="G186" s="61" t="s">
        <v>4013</v>
      </c>
      <c r="H186" s="60" t="s">
        <v>4014</v>
      </c>
      <c r="I186" s="77" t="s">
        <v>4015</v>
      </c>
      <c r="J186" s="60" t="s">
        <v>4016</v>
      </c>
      <c r="K186" s="60" t="s">
        <v>4017</v>
      </c>
      <c r="L186" s="60" t="s">
        <v>4018</v>
      </c>
      <c r="M186" s="60" t="s">
        <v>4019</v>
      </c>
      <c r="N186" s="60"/>
      <c r="O186" s="60" t="s">
        <v>4020</v>
      </c>
      <c r="P186" s="60" t="s">
        <v>4021</v>
      </c>
      <c r="Q186" s="60" t="s">
        <v>4022</v>
      </c>
      <c r="R186" s="60" t="s">
        <v>4023</v>
      </c>
      <c r="S186" s="60" t="s">
        <v>4024</v>
      </c>
      <c r="T186" s="60" t="s">
        <v>4025</v>
      </c>
      <c r="U186" s="60" t="s">
        <v>4026</v>
      </c>
      <c r="V186" s="61" t="s">
        <v>4027</v>
      </c>
      <c r="W186" s="60" t="s">
        <v>4028</v>
      </c>
      <c r="X186" s="60" t="s">
        <v>4029</v>
      </c>
      <c r="Y186" s="60" t="s">
        <v>4030</v>
      </c>
      <c r="Z186" s="60" t="s">
        <v>4031</v>
      </c>
      <c r="AA186" s="60" t="s">
        <v>4032</v>
      </c>
      <c r="AB186" s="62" t="s">
        <v>4033</v>
      </c>
    </row>
    <row r="187" spans="1:28" x14ac:dyDescent="0.3">
      <c r="A187" s="85" t="s">
        <v>4034</v>
      </c>
      <c r="B187" s="39" t="str">
        <f t="shared" si="13"/>
        <v>Legfeljebb 100 karakter.</v>
      </c>
      <c r="D187" s="59" t="s">
        <v>4035</v>
      </c>
      <c r="E187" s="60" t="s">
        <v>4036</v>
      </c>
      <c r="F187" s="61" t="s">
        <v>4037</v>
      </c>
      <c r="G187" s="61" t="s">
        <v>4038</v>
      </c>
      <c r="H187" s="60" t="s">
        <v>4039</v>
      </c>
      <c r="I187" s="77" t="s">
        <v>4040</v>
      </c>
      <c r="J187" s="60" t="s">
        <v>4041</v>
      </c>
      <c r="K187" s="60" t="s">
        <v>4042</v>
      </c>
      <c r="L187" s="60" t="s">
        <v>4043</v>
      </c>
      <c r="M187" s="60" t="s">
        <v>4044</v>
      </c>
      <c r="N187" s="60"/>
      <c r="O187" s="60" t="s">
        <v>4045</v>
      </c>
      <c r="P187" s="60" t="s">
        <v>4046</v>
      </c>
      <c r="Q187" s="60" t="s">
        <v>4047</v>
      </c>
      <c r="R187" s="60" t="s">
        <v>4048</v>
      </c>
      <c r="S187" s="60" t="s">
        <v>4049</v>
      </c>
      <c r="T187" s="60" t="s">
        <v>4050</v>
      </c>
      <c r="U187" s="60" t="s">
        <v>4051</v>
      </c>
      <c r="V187" s="61" t="s">
        <v>4052</v>
      </c>
      <c r="W187" s="60" t="s">
        <v>4053</v>
      </c>
      <c r="X187" s="60" t="s">
        <v>4054</v>
      </c>
      <c r="Y187" s="60" t="s">
        <v>4055</v>
      </c>
      <c r="Z187" s="60" t="s">
        <v>4056</v>
      </c>
      <c r="AA187" s="60" t="s">
        <v>4057</v>
      </c>
      <c r="AB187" s="62" t="s">
        <v>4058</v>
      </c>
    </row>
    <row r="188" spans="1:28" x14ac:dyDescent="0.3">
      <c r="A188" s="85" t="s">
        <v>4059</v>
      </c>
      <c r="B188" s="39" t="str">
        <f t="shared" si="13"/>
        <v>A projekt időtartama hónapokban kifejezve.</v>
      </c>
      <c r="D188" s="59" t="s">
        <v>4060</v>
      </c>
      <c r="E188" s="60" t="s">
        <v>4061</v>
      </c>
      <c r="F188" s="61" t="s">
        <v>4062</v>
      </c>
      <c r="G188" s="61" t="s">
        <v>4063</v>
      </c>
      <c r="H188" s="60" t="s">
        <v>4064</v>
      </c>
      <c r="I188" s="77" t="s">
        <v>4065</v>
      </c>
      <c r="J188" s="60" t="s">
        <v>4066</v>
      </c>
      <c r="K188" s="60" t="s">
        <v>4067</v>
      </c>
      <c r="L188" s="60" t="s">
        <v>4068</v>
      </c>
      <c r="M188" s="60" t="s">
        <v>4069</v>
      </c>
      <c r="N188" s="60"/>
      <c r="O188" s="60" t="s">
        <v>4070</v>
      </c>
      <c r="P188" s="60" t="s">
        <v>4071</v>
      </c>
      <c r="Q188" s="60" t="s">
        <v>4072</v>
      </c>
      <c r="R188" s="60" t="s">
        <v>4073</v>
      </c>
      <c r="S188" s="60" t="s">
        <v>4074</v>
      </c>
      <c r="T188" s="60" t="s">
        <v>4075</v>
      </c>
      <c r="U188" s="60" t="s">
        <v>4076</v>
      </c>
      <c r="V188" s="61" t="s">
        <v>4077</v>
      </c>
      <c r="W188" s="60" t="s">
        <v>4078</v>
      </c>
      <c r="X188" s="60" t="s">
        <v>4079</v>
      </c>
      <c r="Y188" s="60" t="s">
        <v>4080</v>
      </c>
      <c r="Z188" s="60" t="s">
        <v>4081</v>
      </c>
      <c r="AA188" s="60" t="s">
        <v>4082</v>
      </c>
      <c r="AB188" s="62" t="s">
        <v>4083</v>
      </c>
    </row>
    <row r="189" spans="1:28" x14ac:dyDescent="0.3">
      <c r="A189" s="85" t="s">
        <v>4084</v>
      </c>
      <c r="B189" s="39" t="str">
        <f t="shared" si="13"/>
        <v>1 és 60 közötti egész számnak kell lennie!</v>
      </c>
      <c r="D189" s="59" t="s">
        <v>4085</v>
      </c>
      <c r="E189" s="60" t="s">
        <v>4086</v>
      </c>
      <c r="F189" s="61" t="s">
        <v>4087</v>
      </c>
      <c r="G189" s="61" t="s">
        <v>4088</v>
      </c>
      <c r="H189" s="60" t="s">
        <v>4089</v>
      </c>
      <c r="I189" s="77" t="s">
        <v>4090</v>
      </c>
      <c r="J189" s="60" t="s">
        <v>4091</v>
      </c>
      <c r="K189" s="60" t="s">
        <v>4092</v>
      </c>
      <c r="L189" s="60" t="s">
        <v>4093</v>
      </c>
      <c r="M189" s="60" t="s">
        <v>4094</v>
      </c>
      <c r="N189" s="60"/>
      <c r="O189" s="60" t="s">
        <v>4095</v>
      </c>
      <c r="P189" s="60" t="s">
        <v>4096</v>
      </c>
      <c r="Q189" s="60" t="s">
        <v>4097</v>
      </c>
      <c r="R189" s="60" t="s">
        <v>4098</v>
      </c>
      <c r="S189" s="60" t="s">
        <v>4099</v>
      </c>
      <c r="T189" s="60" t="s">
        <v>4100</v>
      </c>
      <c r="U189" s="60" t="s">
        <v>4101</v>
      </c>
      <c r="V189" s="61" t="s">
        <v>4102</v>
      </c>
      <c r="W189" s="60" t="s">
        <v>4103</v>
      </c>
      <c r="X189" s="60" t="s">
        <v>4104</v>
      </c>
      <c r="Y189" s="60" t="s">
        <v>4105</v>
      </c>
      <c r="Z189" s="60" t="s">
        <v>4106</v>
      </c>
      <c r="AA189" s="60" t="s">
        <v>4107</v>
      </c>
      <c r="AB189" s="62" t="s">
        <v>4108</v>
      </c>
    </row>
    <row r="190" spans="1:28" x14ac:dyDescent="0.3">
      <c r="A190" s="85" t="s">
        <v>4109</v>
      </c>
      <c r="B190" s="39" t="str">
        <f t="shared" si="13"/>
        <v>Legfeljebb 50 karakter szóközökkel együtt.</v>
      </c>
      <c r="D190" s="59" t="s">
        <v>4110</v>
      </c>
      <c r="E190" s="60" t="s">
        <v>4111</v>
      </c>
      <c r="F190" s="61" t="s">
        <v>4112</v>
      </c>
      <c r="G190" s="61" t="s">
        <v>4113</v>
      </c>
      <c r="H190" s="60" t="s">
        <v>4114</v>
      </c>
      <c r="I190" s="77" t="s">
        <v>4115</v>
      </c>
      <c r="J190" s="60" t="s">
        <v>4116</v>
      </c>
      <c r="K190" s="60" t="s">
        <v>4117</v>
      </c>
      <c r="L190" s="60" t="s">
        <v>4118</v>
      </c>
      <c r="M190" s="60" t="s">
        <v>4119</v>
      </c>
      <c r="N190" s="60"/>
      <c r="O190" s="60" t="s">
        <v>4120</v>
      </c>
      <c r="P190" s="60" t="s">
        <v>4121</v>
      </c>
      <c r="Q190" s="60" t="s">
        <v>4122</v>
      </c>
      <c r="R190" s="60" t="s">
        <v>4123</v>
      </c>
      <c r="S190" s="60" t="s">
        <v>4124</v>
      </c>
      <c r="T190" s="60" t="s">
        <v>4125</v>
      </c>
      <c r="U190" s="60" t="s">
        <v>4126</v>
      </c>
      <c r="V190" s="61" t="s">
        <v>4127</v>
      </c>
      <c r="W190" s="60" t="s">
        <v>4128</v>
      </c>
      <c r="X190" s="60" t="s">
        <v>4129</v>
      </c>
      <c r="Y190" s="60" t="s">
        <v>4130</v>
      </c>
      <c r="Z190" s="60" t="s">
        <v>4131</v>
      </c>
      <c r="AA190" s="60" t="s">
        <v>4132</v>
      </c>
      <c r="AB190" s="62" t="s">
        <v>4133</v>
      </c>
    </row>
    <row r="191" spans="1:28" x14ac:dyDescent="0.3">
      <c r="A191" s="85" t="s">
        <v>4134</v>
      </c>
      <c r="B191" s="39" t="str">
        <f t="shared" si="13"/>
        <v>Legfeljebb 2500 karakter.</v>
      </c>
      <c r="D191" s="59" t="s">
        <v>4135</v>
      </c>
      <c r="E191" s="60" t="s">
        <v>4136</v>
      </c>
      <c r="F191" s="61" t="s">
        <v>4137</v>
      </c>
      <c r="G191" s="61" t="s">
        <v>4138</v>
      </c>
      <c r="H191" s="60" t="s">
        <v>4139</v>
      </c>
      <c r="I191" s="77" t="s">
        <v>4140</v>
      </c>
      <c r="J191" s="60" t="s">
        <v>4141</v>
      </c>
      <c r="K191" s="60" t="s">
        <v>4142</v>
      </c>
      <c r="L191" s="60" t="s">
        <v>4143</v>
      </c>
      <c r="M191" s="60" t="s">
        <v>4144</v>
      </c>
      <c r="N191" s="60"/>
      <c r="O191" s="60" t="s">
        <v>4145</v>
      </c>
      <c r="P191" s="60" t="s">
        <v>4146</v>
      </c>
      <c r="Q191" s="60" t="s">
        <v>4147</v>
      </c>
      <c r="R191" s="60" t="s">
        <v>4148</v>
      </c>
      <c r="S191" s="60" t="s">
        <v>4149</v>
      </c>
      <c r="T191" s="60" t="s">
        <v>4150</v>
      </c>
      <c r="U191" s="60" t="s">
        <v>4151</v>
      </c>
      <c r="V191" s="61" t="s">
        <v>4152</v>
      </c>
      <c r="W191" s="60" t="s">
        <v>4153</v>
      </c>
      <c r="X191" s="60" t="s">
        <v>4154</v>
      </c>
      <c r="Y191" s="60" t="s">
        <v>4155</v>
      </c>
      <c r="Z191" s="60" t="s">
        <v>4156</v>
      </c>
      <c r="AA191" s="60" t="s">
        <v>4157</v>
      </c>
      <c r="AB191" s="62" t="s">
        <v>4158</v>
      </c>
    </row>
    <row r="192" spans="1:28" x14ac:dyDescent="0.3">
      <c r="A192" s="85" t="s">
        <v>4159</v>
      </c>
      <c r="B192" s="39" t="str">
        <f t="shared" si="13"/>
        <v>Legfeljebb 500 karakter.</v>
      </c>
      <c r="D192" s="59" t="s">
        <v>4160</v>
      </c>
      <c r="E192" s="60" t="s">
        <v>4161</v>
      </c>
      <c r="F192" s="61" t="s">
        <v>4162</v>
      </c>
      <c r="G192" s="61" t="s">
        <v>4163</v>
      </c>
      <c r="H192" s="60" t="s">
        <v>4164</v>
      </c>
      <c r="I192" s="77" t="s">
        <v>4165</v>
      </c>
      <c r="J192" s="60" t="s">
        <v>4166</v>
      </c>
      <c r="K192" s="60" t="s">
        <v>4167</v>
      </c>
      <c r="L192" s="60" t="s">
        <v>4168</v>
      </c>
      <c r="M192" s="60" t="s">
        <v>4169</v>
      </c>
      <c r="N192" s="60"/>
      <c r="O192" s="60" t="s">
        <v>4170</v>
      </c>
      <c r="P192" s="60" t="s">
        <v>4171</v>
      </c>
      <c r="Q192" s="60" t="s">
        <v>4172</v>
      </c>
      <c r="R192" s="60" t="s">
        <v>4173</v>
      </c>
      <c r="S192" s="60" t="s">
        <v>4174</v>
      </c>
      <c r="T192" s="60" t="s">
        <v>4175</v>
      </c>
      <c r="U192" s="60" t="s">
        <v>4176</v>
      </c>
      <c r="V192" s="61" t="s">
        <v>4177</v>
      </c>
      <c r="W192" s="60" t="s">
        <v>4178</v>
      </c>
      <c r="X192" s="60" t="s">
        <v>4179</v>
      </c>
      <c r="Y192" s="60" t="s">
        <v>4180</v>
      </c>
      <c r="Z192" s="60" t="s">
        <v>4181</v>
      </c>
      <c r="AA192" s="60" t="s">
        <v>4182</v>
      </c>
      <c r="AB192" s="62" t="s">
        <v>4183</v>
      </c>
    </row>
    <row r="193" spans="1:28" x14ac:dyDescent="0.3">
      <c r="A193" s="85" t="s">
        <v>4184</v>
      </c>
      <c r="B193" s="39" t="str">
        <f t="shared" si="13"/>
        <v>A nem szakmai projekt-összefoglaló nemzeti azonosítója.</v>
      </c>
      <c r="D193" s="59" t="s">
        <v>4185</v>
      </c>
      <c r="E193" s="60" t="s">
        <v>3329</v>
      </c>
      <c r="F193" s="61" t="s">
        <v>4186</v>
      </c>
      <c r="G193" s="61" t="s">
        <v>3331</v>
      </c>
      <c r="H193" s="60" t="s">
        <v>4187</v>
      </c>
      <c r="I193" s="77" t="s">
        <v>4188</v>
      </c>
      <c r="J193" s="60" t="s">
        <v>4189</v>
      </c>
      <c r="K193" s="60" t="s">
        <v>4190</v>
      </c>
      <c r="L193" s="60" t="s">
        <v>3336</v>
      </c>
      <c r="M193" s="60" t="s">
        <v>4191</v>
      </c>
      <c r="N193" s="60"/>
      <c r="O193" s="60" t="s">
        <v>4192</v>
      </c>
      <c r="P193" s="60" t="s">
        <v>4193</v>
      </c>
      <c r="Q193" s="60" t="s">
        <v>4194</v>
      </c>
      <c r="R193" s="60" t="s">
        <v>4195</v>
      </c>
      <c r="S193" s="60" t="s">
        <v>4196</v>
      </c>
      <c r="T193" s="60" t="s">
        <v>4197</v>
      </c>
      <c r="U193" s="60" t="s">
        <v>3344</v>
      </c>
      <c r="V193" s="61" t="s">
        <v>4198</v>
      </c>
      <c r="W193" s="60" t="s">
        <v>4199</v>
      </c>
      <c r="X193" s="60" t="s">
        <v>4200</v>
      </c>
      <c r="Y193" s="60" t="s">
        <v>4201</v>
      </c>
      <c r="Z193" s="60" t="s">
        <v>4202</v>
      </c>
      <c r="AA193" s="60" t="s">
        <v>4203</v>
      </c>
      <c r="AB193" s="62" t="s">
        <v>3351</v>
      </c>
    </row>
    <row r="194" spans="1:28" x14ac:dyDescent="0.3">
      <c r="A194" s="85" t="s">
        <v>4204</v>
      </c>
      <c r="B194" s="39" t="str">
        <f t="shared" si="13"/>
        <v>Kérjük, töltse ki a „Várható ártalmak” lapot. Töltsön ki legalább egy sort!</v>
      </c>
      <c r="D194" s="59" t="s">
        <v>4205</v>
      </c>
      <c r="E194" s="60" t="s">
        <v>4206</v>
      </c>
      <c r="F194" s="61" t="s">
        <v>4207</v>
      </c>
      <c r="G194" s="61" t="s">
        <v>4208</v>
      </c>
      <c r="H194" s="60" t="s">
        <v>4209</v>
      </c>
      <c r="I194" s="77" t="s">
        <v>4210</v>
      </c>
      <c r="J194" s="60" t="s">
        <v>4211</v>
      </c>
      <c r="K194" s="60" t="s">
        <v>4212</v>
      </c>
      <c r="L194" s="60" t="s">
        <v>4213</v>
      </c>
      <c r="M194" s="60" t="s">
        <v>4214</v>
      </c>
      <c r="N194" s="60"/>
      <c r="O194" s="60" t="s">
        <v>4215</v>
      </c>
      <c r="P194" s="60" t="s">
        <v>4216</v>
      </c>
      <c r="Q194" s="60" t="s">
        <v>4217</v>
      </c>
      <c r="R194" s="60" t="s">
        <v>4218</v>
      </c>
      <c r="S194" s="60" t="s">
        <v>4219</v>
      </c>
      <c r="T194" s="60" t="s">
        <v>4220</v>
      </c>
      <c r="U194" s="60" t="s">
        <v>4221</v>
      </c>
      <c r="V194" s="61" t="s">
        <v>4222</v>
      </c>
      <c r="W194" s="60" t="s">
        <v>4223</v>
      </c>
      <c r="X194" s="60" t="s">
        <v>4224</v>
      </c>
      <c r="Y194" s="60" t="s">
        <v>4225</v>
      </c>
      <c r="Z194" s="60" t="s">
        <v>4226</v>
      </c>
      <c r="AA194" s="60" t="s">
        <v>4227</v>
      </c>
      <c r="AB194" s="62" t="s">
        <v>4228</v>
      </c>
    </row>
    <row r="195" spans="1:28" x14ac:dyDescent="0.3">
      <c r="A195" s="85" t="s">
        <v>4229</v>
      </c>
      <c r="B195" s="39" t="str">
        <f t="shared" si="13"/>
        <v xml:space="preserve">Kérjük, adott esetben töltse ki „Az életben maradt állatok sorsa” lapot. </v>
      </c>
      <c r="D195" s="59" t="s">
        <v>4230</v>
      </c>
      <c r="E195" s="60" t="s">
        <v>4231</v>
      </c>
      <c r="F195" s="61" t="s">
        <v>4232</v>
      </c>
      <c r="G195" s="61" t="s">
        <v>4233</v>
      </c>
      <c r="H195" s="60" t="s">
        <v>4234</v>
      </c>
      <c r="I195" s="77" t="s">
        <v>4235</v>
      </c>
      <c r="J195" s="60" t="s">
        <v>4236</v>
      </c>
      <c r="K195" s="60" t="s">
        <v>4237</v>
      </c>
      <c r="L195" s="60" t="s">
        <v>4238</v>
      </c>
      <c r="M195" s="60" t="s">
        <v>4239</v>
      </c>
      <c r="N195" s="60"/>
      <c r="O195" s="60" t="s">
        <v>4240</v>
      </c>
      <c r="P195" s="60" t="s">
        <v>4241</v>
      </c>
      <c r="Q195" s="60" t="s">
        <v>4242</v>
      </c>
      <c r="R195" s="60" t="s">
        <v>4243</v>
      </c>
      <c r="S195" s="60" t="s">
        <v>4244</v>
      </c>
      <c r="T195" s="60" t="s">
        <v>4245</v>
      </c>
      <c r="U195" s="60" t="s">
        <v>4246</v>
      </c>
      <c r="V195" s="61" t="s">
        <v>4247</v>
      </c>
      <c r="W195" s="60" t="s">
        <v>4248</v>
      </c>
      <c r="X195" s="60" t="s">
        <v>4249</v>
      </c>
      <c r="Y195" s="60" t="s">
        <v>4250</v>
      </c>
      <c r="Z195" s="60" t="s">
        <v>4251</v>
      </c>
      <c r="AA195" s="60" t="s">
        <v>4252</v>
      </c>
      <c r="AB195" s="62" t="s">
        <v>4253</v>
      </c>
    </row>
    <row r="196" spans="1:28" x14ac:dyDescent="0.3">
      <c r="A196" s="85" t="s">
        <v>4254</v>
      </c>
      <c r="B196" s="39" t="str">
        <f t="shared" si="13"/>
        <v>A formátum a rendszer beállításaitól függően nn-hh-éééé vagy nn/hh/éééé (pl. 27-05-2022 vagy 27/05/2022).</v>
      </c>
      <c r="D196" s="59" t="s">
        <v>4255</v>
      </c>
      <c r="E196" s="60" t="s">
        <v>4256</v>
      </c>
      <c r="F196" s="61" t="s">
        <v>4257</v>
      </c>
      <c r="G196" s="61" t="s">
        <v>4258</v>
      </c>
      <c r="H196" s="60" t="s">
        <v>4259</v>
      </c>
      <c r="I196" s="77" t="s">
        <v>4260</v>
      </c>
      <c r="J196" s="60" t="s">
        <v>4261</v>
      </c>
      <c r="K196" s="60" t="s">
        <v>4262</v>
      </c>
      <c r="L196" s="60" t="s">
        <v>4263</v>
      </c>
      <c r="M196" s="60" t="s">
        <v>4264</v>
      </c>
      <c r="N196" s="60"/>
      <c r="O196" s="60" t="s">
        <v>4265</v>
      </c>
      <c r="P196" s="60" t="s">
        <v>4266</v>
      </c>
      <c r="Q196" s="60" t="s">
        <v>4267</v>
      </c>
      <c r="R196" s="60" t="s">
        <v>4268</v>
      </c>
      <c r="S196" s="60" t="s">
        <v>4269</v>
      </c>
      <c r="T196" s="60" t="s">
        <v>4270</v>
      </c>
      <c r="U196" s="60" t="s">
        <v>4271</v>
      </c>
      <c r="V196" s="61" t="s">
        <v>4272</v>
      </c>
      <c r="W196" s="60" t="s">
        <v>4273</v>
      </c>
      <c r="X196" s="60" t="s">
        <v>4274</v>
      </c>
      <c r="Y196" s="60" t="s">
        <v>4275</v>
      </c>
      <c r="Z196" s="60" t="s">
        <v>4276</v>
      </c>
      <c r="AA196" s="60" t="s">
        <v>4277</v>
      </c>
      <c r="AB196" s="62" t="s">
        <v>4278</v>
      </c>
    </row>
    <row r="197" spans="1:28" x14ac:dyDescent="0.3">
      <c r="A197" s="85" t="s">
        <v>4279</v>
      </c>
      <c r="B197" s="39" t="str">
        <f t="shared" si="13"/>
        <v>További mezők</v>
      </c>
      <c r="D197" s="59" t="s">
        <v>4280</v>
      </c>
      <c r="E197" s="60" t="s">
        <v>4281</v>
      </c>
      <c r="F197" s="61" t="s">
        <v>4282</v>
      </c>
      <c r="G197" s="61" t="s">
        <v>4283</v>
      </c>
      <c r="H197" s="60" t="s">
        <v>4284</v>
      </c>
      <c r="I197" s="77" t="s">
        <v>4285</v>
      </c>
      <c r="J197" s="60" t="s">
        <v>4286</v>
      </c>
      <c r="K197" s="60" t="s">
        <v>4287</v>
      </c>
      <c r="L197" s="60" t="s">
        <v>4288</v>
      </c>
      <c r="M197" s="60" t="s">
        <v>4289</v>
      </c>
      <c r="N197" s="60"/>
      <c r="O197" s="60" t="s">
        <v>4290</v>
      </c>
      <c r="P197" s="60" t="s">
        <v>4291</v>
      </c>
      <c r="Q197" s="60" t="s">
        <v>4292</v>
      </c>
      <c r="R197" s="60" t="s">
        <v>4293</v>
      </c>
      <c r="S197" s="60" t="s">
        <v>4294</v>
      </c>
      <c r="T197" s="60" t="s">
        <v>4295</v>
      </c>
      <c r="U197" s="60" t="s">
        <v>4296</v>
      </c>
      <c r="V197" s="61" t="s">
        <v>4297</v>
      </c>
      <c r="W197" s="60" t="s">
        <v>4298</v>
      </c>
      <c r="X197" s="60" t="s">
        <v>4299</v>
      </c>
      <c r="Y197" s="60" t="s">
        <v>4300</v>
      </c>
      <c r="Z197" s="60" t="s">
        <v>4290</v>
      </c>
      <c r="AA197" s="60" t="s">
        <v>4301</v>
      </c>
      <c r="AB197" s="62" t="s">
        <v>4302</v>
      </c>
    </row>
    <row r="198" spans="1:28" x14ac:dyDescent="0.3">
      <c r="A198" s="85" t="s">
        <v>4303</v>
      </c>
      <c r="B198" s="39" t="str">
        <f t="shared" si="13"/>
        <v>Az, hogy egy adott mező alkalmazható-e vagy sem, a nemzeti szabályoktól függ.</v>
      </c>
      <c r="D198" s="59" t="s">
        <v>4304</v>
      </c>
      <c r="E198" s="60" t="s">
        <v>4305</v>
      </c>
      <c r="F198" s="61" t="s">
        <v>4306</v>
      </c>
      <c r="G198" s="61" t="s">
        <v>4307</v>
      </c>
      <c r="H198" s="60" t="s">
        <v>4308</v>
      </c>
      <c r="I198" s="77" t="s">
        <v>4309</v>
      </c>
      <c r="J198" s="60" t="s">
        <v>4310</v>
      </c>
      <c r="K198" s="60" t="s">
        <v>4311</v>
      </c>
      <c r="L198" s="60" t="s">
        <v>4312</v>
      </c>
      <c r="M198" s="60" t="s">
        <v>4313</v>
      </c>
      <c r="N198" s="60"/>
      <c r="O198" s="60" t="s">
        <v>4314</v>
      </c>
      <c r="P198" s="60" t="s">
        <v>4315</v>
      </c>
      <c r="Q198" s="60" t="s">
        <v>4316</v>
      </c>
      <c r="R198" s="60" t="s">
        <v>4317</v>
      </c>
      <c r="S198" s="60" t="s">
        <v>4318</v>
      </c>
      <c r="T198" s="60" t="s">
        <v>4319</v>
      </c>
      <c r="U198" s="60" t="s">
        <v>4320</v>
      </c>
      <c r="V198" s="61" t="s">
        <v>4321</v>
      </c>
      <c r="W198" s="60" t="s">
        <v>4322</v>
      </c>
      <c r="X198" s="60" t="s">
        <v>4323</v>
      </c>
      <c r="Y198" s="60" t="s">
        <v>4324</v>
      </c>
      <c r="Z198" s="60" t="s">
        <v>4325</v>
      </c>
      <c r="AA198" s="60" t="s">
        <v>4326</v>
      </c>
      <c r="AB198" s="62" t="s">
        <v>4327</v>
      </c>
    </row>
    <row r="199" spans="1:28" x14ac:dyDescent="0.3">
      <c r="A199" s="85" t="s">
        <v>4328</v>
      </c>
      <c r="B199" s="39" t="str">
        <f t="shared" si="13"/>
        <v>A projekt indulásának időpontja</v>
      </c>
      <c r="D199" s="59" t="s">
        <v>4329</v>
      </c>
      <c r="E199" s="60" t="s">
        <v>4330</v>
      </c>
      <c r="F199" s="61" t="s">
        <v>4331</v>
      </c>
      <c r="G199" s="61" t="s">
        <v>4332</v>
      </c>
      <c r="H199" s="60" t="s">
        <v>4333</v>
      </c>
      <c r="I199" s="77" t="s">
        <v>4334</v>
      </c>
      <c r="J199" s="60" t="s">
        <v>4335</v>
      </c>
      <c r="K199" s="60" t="s">
        <v>4336</v>
      </c>
      <c r="L199" s="60" t="s">
        <v>4337</v>
      </c>
      <c r="M199" s="60" t="s">
        <v>4338</v>
      </c>
      <c r="N199" s="60"/>
      <c r="O199" s="60" t="s">
        <v>4339</v>
      </c>
      <c r="P199" s="60" t="s">
        <v>4340</v>
      </c>
      <c r="Q199" s="60" t="s">
        <v>4341</v>
      </c>
      <c r="R199" s="60" t="s">
        <v>4342</v>
      </c>
      <c r="S199" s="60" t="s">
        <v>4343</v>
      </c>
      <c r="T199" s="60" t="s">
        <v>4344</v>
      </c>
      <c r="U199" s="60" t="s">
        <v>4345</v>
      </c>
      <c r="V199" s="61" t="s">
        <v>4346</v>
      </c>
      <c r="W199" s="60" t="s">
        <v>4347</v>
      </c>
      <c r="X199" s="60" t="s">
        <v>4348</v>
      </c>
      <c r="Y199" s="60" t="s">
        <v>4349</v>
      </c>
      <c r="Z199" s="60" t="s">
        <v>4350</v>
      </c>
      <c r="AA199" s="60" t="s">
        <v>4351</v>
      </c>
      <c r="AB199" s="62" t="s">
        <v>4352</v>
      </c>
    </row>
    <row r="200" spans="1:28" x14ac:dyDescent="0.3">
      <c r="A200" s="85" t="s">
        <v>4353</v>
      </c>
      <c r="B200" s="39" t="str">
        <f t="shared" si="13"/>
        <v>A projekt végének időpontja</v>
      </c>
      <c r="D200" s="59" t="s">
        <v>4354</v>
      </c>
      <c r="E200" s="60" t="s">
        <v>4355</v>
      </c>
      <c r="F200" s="61" t="s">
        <v>4356</v>
      </c>
      <c r="G200" s="61" t="s">
        <v>4357</v>
      </c>
      <c r="H200" s="60" t="s">
        <v>4358</v>
      </c>
      <c r="I200" s="77" t="s">
        <v>4359</v>
      </c>
      <c r="J200" s="60" t="s">
        <v>4360</v>
      </c>
      <c r="K200" s="60" t="s">
        <v>4361</v>
      </c>
      <c r="L200" s="60" t="s">
        <v>4362</v>
      </c>
      <c r="M200" s="60" t="s">
        <v>4363</v>
      </c>
      <c r="N200" s="60"/>
      <c r="O200" s="60" t="s">
        <v>4364</v>
      </c>
      <c r="P200" s="60" t="s">
        <v>4365</v>
      </c>
      <c r="Q200" s="60" t="s">
        <v>4366</v>
      </c>
      <c r="R200" s="60" t="s">
        <v>4367</v>
      </c>
      <c r="S200" s="60" t="s">
        <v>4368</v>
      </c>
      <c r="T200" s="60" t="s">
        <v>4369</v>
      </c>
      <c r="U200" s="60" t="s">
        <v>4370</v>
      </c>
      <c r="V200" s="61" t="s">
        <v>4371</v>
      </c>
      <c r="W200" s="60" t="s">
        <v>4372</v>
      </c>
      <c r="X200" s="60" t="s">
        <v>4373</v>
      </c>
      <c r="Y200" s="60" t="s">
        <v>4374</v>
      </c>
      <c r="Z200" s="60" t="s">
        <v>4375</v>
      </c>
      <c r="AA200" s="60" t="s">
        <v>4376</v>
      </c>
      <c r="AB200" s="62" t="s">
        <v>4377</v>
      </c>
    </row>
    <row r="201" spans="1:28" x14ac:dyDescent="0.3">
      <c r="A201" s="85" t="s">
        <v>4378</v>
      </c>
      <c r="B201" s="39" t="str">
        <f t="shared" si="13"/>
        <v>A projekt jóváhagyásának időpontja</v>
      </c>
      <c r="D201" s="59" t="s">
        <v>4379</v>
      </c>
      <c r="E201" s="60" t="s">
        <v>4380</v>
      </c>
      <c r="F201" s="61" t="s">
        <v>4381</v>
      </c>
      <c r="G201" s="61" t="s">
        <v>4382</v>
      </c>
      <c r="H201" s="60" t="s">
        <v>4383</v>
      </c>
      <c r="I201" s="77" t="s">
        <v>4384</v>
      </c>
      <c r="J201" s="60" t="s">
        <v>4385</v>
      </c>
      <c r="K201" s="60" t="s">
        <v>4386</v>
      </c>
      <c r="L201" s="60" t="s">
        <v>4387</v>
      </c>
      <c r="M201" s="60" t="s">
        <v>4388</v>
      </c>
      <c r="N201" s="60"/>
      <c r="O201" s="60" t="s">
        <v>4389</v>
      </c>
      <c r="P201" s="60" t="s">
        <v>4390</v>
      </c>
      <c r="Q201" s="60" t="s">
        <v>4391</v>
      </c>
      <c r="R201" s="60" t="s">
        <v>4392</v>
      </c>
      <c r="S201" s="60" t="s">
        <v>4393</v>
      </c>
      <c r="T201" s="60" t="s">
        <v>4394</v>
      </c>
      <c r="U201" s="60" t="s">
        <v>4395</v>
      </c>
      <c r="V201" s="61" t="s">
        <v>4396</v>
      </c>
      <c r="W201" s="60" t="s">
        <v>4397</v>
      </c>
      <c r="X201" s="60" t="s">
        <v>4398</v>
      </c>
      <c r="Y201" s="60" t="s">
        <v>4399</v>
      </c>
      <c r="Z201" s="60" t="s">
        <v>4400</v>
      </c>
      <c r="AA201" s="60" t="s">
        <v>4401</v>
      </c>
      <c r="AB201" s="62" t="s">
        <v>4402</v>
      </c>
    </row>
    <row r="202" spans="1:28" x14ac:dyDescent="0.3">
      <c r="A202" s="85" t="s">
        <v>4403</v>
      </c>
      <c r="B202" s="39" t="str">
        <f t="shared" si="13"/>
        <v>BNO-kód</v>
      </c>
      <c r="D202" s="59" t="s">
        <v>4404</v>
      </c>
      <c r="E202" s="60" t="s">
        <v>4405</v>
      </c>
      <c r="F202" s="61" t="s">
        <v>4406</v>
      </c>
      <c r="G202" s="61" t="s">
        <v>4407</v>
      </c>
      <c r="H202" s="60" t="s">
        <v>4408</v>
      </c>
      <c r="I202" s="77" t="s">
        <v>4409</v>
      </c>
      <c r="J202" s="60" t="s">
        <v>4410</v>
      </c>
      <c r="K202" s="60" t="s">
        <v>4411</v>
      </c>
      <c r="L202" s="60" t="s">
        <v>4412</v>
      </c>
      <c r="M202" s="60" t="s">
        <v>4413</v>
      </c>
      <c r="N202" s="60"/>
      <c r="O202" s="60" t="s">
        <v>4414</v>
      </c>
      <c r="P202" s="60" t="s">
        <v>4415</v>
      </c>
      <c r="Q202" s="60" t="s">
        <v>4416</v>
      </c>
      <c r="R202" s="60" t="s">
        <v>4417</v>
      </c>
      <c r="S202" s="60" t="s">
        <v>4418</v>
      </c>
      <c r="T202" s="60" t="s">
        <v>4419</v>
      </c>
      <c r="U202" s="60" t="s">
        <v>4420</v>
      </c>
      <c r="V202" s="61" t="s">
        <v>4421</v>
      </c>
      <c r="W202" s="60" t="s">
        <v>4422</v>
      </c>
      <c r="X202" s="60" t="s">
        <v>4423</v>
      </c>
      <c r="Y202" s="60" t="s">
        <v>4424</v>
      </c>
      <c r="Z202" s="60" t="s">
        <v>4425</v>
      </c>
      <c r="AA202" s="60" t="s">
        <v>4426</v>
      </c>
      <c r="AB202" s="62" t="s">
        <v>4406</v>
      </c>
    </row>
    <row r="203" spans="1:28" x14ac:dyDescent="0.3">
      <c r="A203" s="85" t="s">
        <v>4427</v>
      </c>
      <c r="B203" s="39" t="str">
        <f t="shared" si="13"/>
        <v>1. nemzeti mező</v>
      </c>
      <c r="D203" s="59" t="s">
        <v>4428</v>
      </c>
      <c r="E203" s="60" t="s">
        <v>4429</v>
      </c>
      <c r="F203" s="61" t="s">
        <v>4430</v>
      </c>
      <c r="G203" s="61" t="s">
        <v>4431</v>
      </c>
      <c r="H203" s="60" t="s">
        <v>4432</v>
      </c>
      <c r="I203" s="77" t="s">
        <v>4433</v>
      </c>
      <c r="J203" s="60" t="s">
        <v>4434</v>
      </c>
      <c r="K203" s="60" t="s">
        <v>4435</v>
      </c>
      <c r="L203" s="60" t="s">
        <v>4436</v>
      </c>
      <c r="M203" s="60" t="s">
        <v>4437</v>
      </c>
      <c r="N203" s="60"/>
      <c r="O203" s="60" t="s">
        <v>4438</v>
      </c>
      <c r="P203" s="60" t="s">
        <v>4439</v>
      </c>
      <c r="Q203" s="60" t="s">
        <v>4440</v>
      </c>
      <c r="R203" s="60" t="s">
        <v>4441</v>
      </c>
      <c r="S203" s="60" t="s">
        <v>4442</v>
      </c>
      <c r="T203" s="60" t="s">
        <v>4443</v>
      </c>
      <c r="U203" s="60" t="s">
        <v>4444</v>
      </c>
      <c r="V203" s="61" t="s">
        <v>4445</v>
      </c>
      <c r="W203" s="60" t="s">
        <v>4434</v>
      </c>
      <c r="X203" s="60" t="s">
        <v>4446</v>
      </c>
      <c r="Y203" s="60" t="s">
        <v>4447</v>
      </c>
      <c r="Z203" s="60" t="s">
        <v>4438</v>
      </c>
      <c r="AA203" s="60" t="s">
        <v>4448</v>
      </c>
      <c r="AB203" s="62" t="s">
        <v>4449</v>
      </c>
    </row>
    <row r="204" spans="1:28" x14ac:dyDescent="0.3">
      <c r="A204" s="85" t="s">
        <v>4450</v>
      </c>
      <c r="B204" s="39" t="str">
        <f t="shared" si="13"/>
        <v>2. nemzeti mező</v>
      </c>
      <c r="D204" s="59" t="s">
        <v>4451</v>
      </c>
      <c r="E204" s="60" t="s">
        <v>4452</v>
      </c>
      <c r="F204" s="61" t="s">
        <v>4453</v>
      </c>
      <c r="G204" s="61" t="s">
        <v>4454</v>
      </c>
      <c r="H204" s="60" t="s">
        <v>4455</v>
      </c>
      <c r="I204" s="77" t="s">
        <v>4456</v>
      </c>
      <c r="J204" s="60" t="s">
        <v>4457</v>
      </c>
      <c r="K204" s="60" t="s">
        <v>4458</v>
      </c>
      <c r="L204" s="60" t="s">
        <v>4459</v>
      </c>
      <c r="M204" s="60" t="s">
        <v>4460</v>
      </c>
      <c r="N204" s="60"/>
      <c r="O204" s="60" t="s">
        <v>4461</v>
      </c>
      <c r="P204" s="60" t="s">
        <v>4462</v>
      </c>
      <c r="Q204" s="60" t="s">
        <v>4463</v>
      </c>
      <c r="R204" s="60" t="s">
        <v>4464</v>
      </c>
      <c r="S204" s="60" t="s">
        <v>4465</v>
      </c>
      <c r="T204" s="60" t="s">
        <v>4466</v>
      </c>
      <c r="U204" s="60" t="s">
        <v>4467</v>
      </c>
      <c r="V204" s="61" t="s">
        <v>4468</v>
      </c>
      <c r="W204" s="60" t="s">
        <v>4457</v>
      </c>
      <c r="X204" s="60" t="s">
        <v>4469</v>
      </c>
      <c r="Y204" s="60" t="s">
        <v>4470</v>
      </c>
      <c r="Z204" s="60" t="s">
        <v>4461</v>
      </c>
      <c r="AA204" s="60" t="s">
        <v>4471</v>
      </c>
      <c r="AB204" s="62" t="s">
        <v>4472</v>
      </c>
    </row>
    <row r="205" spans="1:28" x14ac:dyDescent="0.3">
      <c r="A205" s="85" t="s">
        <v>4473</v>
      </c>
      <c r="B205" s="39" t="str">
        <f t="shared" si="13"/>
        <v>3. nemzeti mező</v>
      </c>
      <c r="D205" s="59" t="s">
        <v>4474</v>
      </c>
      <c r="E205" s="60" t="s">
        <v>4475</v>
      </c>
      <c r="F205" s="61" t="s">
        <v>4476</v>
      </c>
      <c r="G205" s="61" t="s">
        <v>4477</v>
      </c>
      <c r="H205" s="60" t="s">
        <v>4478</v>
      </c>
      <c r="I205" s="77" t="s">
        <v>4479</v>
      </c>
      <c r="J205" s="60" t="s">
        <v>4480</v>
      </c>
      <c r="K205" s="60" t="s">
        <v>4481</v>
      </c>
      <c r="L205" s="60" t="s">
        <v>4482</v>
      </c>
      <c r="M205" s="60" t="s">
        <v>4483</v>
      </c>
      <c r="N205" s="60"/>
      <c r="O205" s="60" t="s">
        <v>4484</v>
      </c>
      <c r="P205" s="60" t="s">
        <v>4485</v>
      </c>
      <c r="Q205" s="60" t="s">
        <v>4486</v>
      </c>
      <c r="R205" s="60" t="s">
        <v>4487</v>
      </c>
      <c r="S205" s="60" t="s">
        <v>4488</v>
      </c>
      <c r="T205" s="60" t="s">
        <v>4489</v>
      </c>
      <c r="U205" s="60" t="s">
        <v>4490</v>
      </c>
      <c r="V205" s="61" t="s">
        <v>4491</v>
      </c>
      <c r="W205" s="60" t="s">
        <v>4480</v>
      </c>
      <c r="X205" s="60" t="s">
        <v>4492</v>
      </c>
      <c r="Y205" s="60" t="s">
        <v>4493</v>
      </c>
      <c r="Z205" s="60" t="s">
        <v>4484</v>
      </c>
      <c r="AA205" s="60" t="s">
        <v>4494</v>
      </c>
      <c r="AB205" s="62" t="s">
        <v>4495</v>
      </c>
    </row>
    <row r="206" spans="1:28" x14ac:dyDescent="0.3">
      <c r="A206" s="85" t="s">
        <v>4496</v>
      </c>
      <c r="B206" s="39" t="str">
        <f t="shared" si="13"/>
        <v>4. nemzeti mező</v>
      </c>
      <c r="D206" s="59" t="s">
        <v>4497</v>
      </c>
      <c r="E206" s="60" t="s">
        <v>4498</v>
      </c>
      <c r="F206" s="61" t="s">
        <v>4499</v>
      </c>
      <c r="G206" s="61" t="s">
        <v>4500</v>
      </c>
      <c r="H206" s="60" t="s">
        <v>4501</v>
      </c>
      <c r="I206" s="77" t="s">
        <v>4502</v>
      </c>
      <c r="J206" s="60" t="s">
        <v>4503</v>
      </c>
      <c r="K206" s="60" t="s">
        <v>4504</v>
      </c>
      <c r="L206" s="60" t="s">
        <v>4505</v>
      </c>
      <c r="M206" s="60" t="s">
        <v>4506</v>
      </c>
      <c r="N206" s="60"/>
      <c r="O206" s="60" t="s">
        <v>4507</v>
      </c>
      <c r="P206" s="60" t="s">
        <v>4508</v>
      </c>
      <c r="Q206" s="60" t="s">
        <v>4509</v>
      </c>
      <c r="R206" s="60" t="s">
        <v>4510</v>
      </c>
      <c r="S206" s="60" t="s">
        <v>4511</v>
      </c>
      <c r="T206" s="60" t="s">
        <v>4512</v>
      </c>
      <c r="U206" s="60" t="s">
        <v>4513</v>
      </c>
      <c r="V206" s="61" t="s">
        <v>4514</v>
      </c>
      <c r="W206" s="60" t="s">
        <v>4503</v>
      </c>
      <c r="X206" s="60" t="s">
        <v>4515</v>
      </c>
      <c r="Y206" s="60" t="s">
        <v>4516</v>
      </c>
      <c r="Z206" s="60" t="s">
        <v>4507</v>
      </c>
      <c r="AA206" s="60" t="s">
        <v>4517</v>
      </c>
      <c r="AB206" s="62" t="s">
        <v>4518</v>
      </c>
    </row>
    <row r="207" spans="1:28" x14ac:dyDescent="0.3">
      <c r="A207" s="85" t="s">
        <v>4519</v>
      </c>
      <c r="B207" s="39" t="str">
        <f t="shared" ref="B207:B225" si="14">IF(TRIM(HLOOKUP(language_or_default,textTranslations,MATCH(A207,text,0),0))="",HLOOKUP("en",textTranslations,MATCH(A207,text,0),0),HLOOKUP(language_or_default,textTranslations,MATCH(A207,text,0),0))</f>
        <v>5. nemzeti mező</v>
      </c>
      <c r="D207" s="59" t="s">
        <v>4520</v>
      </c>
      <c r="E207" s="60" t="s">
        <v>4521</v>
      </c>
      <c r="F207" s="61" t="s">
        <v>4522</v>
      </c>
      <c r="G207" s="61" t="s">
        <v>4523</v>
      </c>
      <c r="H207" s="60" t="s">
        <v>4524</v>
      </c>
      <c r="I207" s="77" t="s">
        <v>4525</v>
      </c>
      <c r="J207" s="60" t="s">
        <v>4526</v>
      </c>
      <c r="K207" s="60" t="s">
        <v>4527</v>
      </c>
      <c r="L207" s="60" t="s">
        <v>4528</v>
      </c>
      <c r="M207" s="60" t="s">
        <v>4529</v>
      </c>
      <c r="N207" s="60"/>
      <c r="O207" s="60" t="s">
        <v>4530</v>
      </c>
      <c r="P207" s="60" t="s">
        <v>4531</v>
      </c>
      <c r="Q207" s="60" t="s">
        <v>4532</v>
      </c>
      <c r="R207" s="60" t="s">
        <v>4533</v>
      </c>
      <c r="S207" s="60" t="s">
        <v>4534</v>
      </c>
      <c r="T207" s="60" t="s">
        <v>4535</v>
      </c>
      <c r="U207" s="60" t="s">
        <v>4536</v>
      </c>
      <c r="V207" s="61" t="s">
        <v>4537</v>
      </c>
      <c r="W207" s="60" t="s">
        <v>4526</v>
      </c>
      <c r="X207" s="60" t="s">
        <v>4538</v>
      </c>
      <c r="Y207" s="60" t="s">
        <v>4539</v>
      </c>
      <c r="Z207" s="60" t="s">
        <v>4530</v>
      </c>
      <c r="AA207" s="60" t="s">
        <v>4540</v>
      </c>
      <c r="AB207" s="62" t="s">
        <v>4541</v>
      </c>
    </row>
    <row r="208" spans="1:28" x14ac:dyDescent="0.3">
      <c r="A208" s="85" t="s">
        <v>4542</v>
      </c>
      <c r="B208" s="39" t="str">
        <f t="shared" si="14"/>
        <v>Kérjük, töltse ki „A projekt célja” lapot.</v>
      </c>
      <c r="D208" s="59" t="s">
        <v>4543</v>
      </c>
      <c r="E208" s="60" t="s">
        <v>4544</v>
      </c>
      <c r="F208" s="61" t="s">
        <v>4545</v>
      </c>
      <c r="G208" s="61" t="s">
        <v>4546</v>
      </c>
      <c r="H208" s="60" t="s">
        <v>4547</v>
      </c>
      <c r="I208" s="77" t="s">
        <v>4548</v>
      </c>
      <c r="J208" s="60" t="s">
        <v>4549</v>
      </c>
      <c r="K208" s="60" t="s">
        <v>4550</v>
      </c>
      <c r="L208" s="60" t="s">
        <v>4551</v>
      </c>
      <c r="M208" s="60" t="s">
        <v>4552</v>
      </c>
      <c r="N208" s="60"/>
      <c r="O208" s="60" t="s">
        <v>4553</v>
      </c>
      <c r="P208" s="60" t="s">
        <v>4554</v>
      </c>
      <c r="Q208" s="60" t="s">
        <v>4555</v>
      </c>
      <c r="R208" s="60" t="s">
        <v>4556</v>
      </c>
      <c r="S208" s="60" t="s">
        <v>4557</v>
      </c>
      <c r="T208" s="60" t="s">
        <v>4558</v>
      </c>
      <c r="U208" s="60" t="s">
        <v>4559</v>
      </c>
      <c r="V208" s="61" t="s">
        <v>4560</v>
      </c>
      <c r="W208" s="60" t="s">
        <v>4561</v>
      </c>
      <c r="X208" s="60" t="s">
        <v>4562</v>
      </c>
      <c r="Y208" s="60" t="s">
        <v>4563</v>
      </c>
      <c r="Z208" s="60" t="s">
        <v>4564</v>
      </c>
      <c r="AA208" s="60" t="s">
        <v>4565</v>
      </c>
      <c r="AB208" s="62" t="s">
        <v>4566</v>
      </c>
    </row>
    <row r="209" spans="1:28" x14ac:dyDescent="0.3">
      <c r="A209" s="85" t="s">
        <v>4567</v>
      </c>
      <c r="B209" s="39" t="str">
        <f t="shared" si="14"/>
        <v>(hónapokban)</v>
      </c>
      <c r="D209" s="59" t="s">
        <v>4568</v>
      </c>
      <c r="E209" s="60" t="s">
        <v>4569</v>
      </c>
      <c r="F209" s="61" t="s">
        <v>4570</v>
      </c>
      <c r="G209" s="61" t="s">
        <v>4571</v>
      </c>
      <c r="H209" s="60" t="s">
        <v>4572</v>
      </c>
      <c r="I209" s="77" t="s">
        <v>4573</v>
      </c>
      <c r="J209" s="60" t="s">
        <v>4574</v>
      </c>
      <c r="K209" s="60" t="s">
        <v>4575</v>
      </c>
      <c r="L209" s="60" t="s">
        <v>4576</v>
      </c>
      <c r="M209" s="60" t="s">
        <v>4577</v>
      </c>
      <c r="N209" s="60"/>
      <c r="O209" s="60" t="s">
        <v>4578</v>
      </c>
      <c r="P209" s="60" t="s">
        <v>4579</v>
      </c>
      <c r="Q209" s="60" t="s">
        <v>4580</v>
      </c>
      <c r="R209" s="60" t="s">
        <v>4581</v>
      </c>
      <c r="S209" s="60" t="s">
        <v>4582</v>
      </c>
      <c r="T209" s="60" t="s">
        <v>4583</v>
      </c>
      <c r="U209" s="60" t="s">
        <v>4584</v>
      </c>
      <c r="V209" s="61" t="s">
        <v>4585</v>
      </c>
      <c r="W209" s="60" t="s">
        <v>4586</v>
      </c>
      <c r="X209" s="60" t="s">
        <v>4587</v>
      </c>
      <c r="Y209" s="60" t="s">
        <v>4588</v>
      </c>
      <c r="Z209" s="60" t="s">
        <v>4589</v>
      </c>
      <c r="AA209" s="60" t="s">
        <v>4590</v>
      </c>
      <c r="AB209" s="62" t="s">
        <v>4570</v>
      </c>
    </row>
    <row r="210" spans="1:28" x14ac:dyDescent="0.3">
      <c r="A210" s="85" t="s">
        <v>4591</v>
      </c>
      <c r="B210" s="39" t="str">
        <f t="shared" si="14"/>
        <v>Több szóból állhat.</v>
      </c>
      <c r="D210" s="59" t="s">
        <v>4592</v>
      </c>
      <c r="E210" s="60" t="s">
        <v>4593</v>
      </c>
      <c r="F210" s="61" t="s">
        <v>4594</v>
      </c>
      <c r="G210" s="61" t="s">
        <v>4595</v>
      </c>
      <c r="H210" s="60" t="s">
        <v>4596</v>
      </c>
      <c r="I210" s="77" t="s">
        <v>4597</v>
      </c>
      <c r="J210" s="60" t="s">
        <v>4598</v>
      </c>
      <c r="K210" s="60" t="s">
        <v>4599</v>
      </c>
      <c r="L210" s="60" t="s">
        <v>4600</v>
      </c>
      <c r="M210" s="60" t="s">
        <v>4601</v>
      </c>
      <c r="N210" s="60"/>
      <c r="O210" s="60" t="s">
        <v>4602</v>
      </c>
      <c r="P210" s="60" t="s">
        <v>4603</v>
      </c>
      <c r="Q210" s="60" t="s">
        <v>4604</v>
      </c>
      <c r="R210" s="60" t="s">
        <v>4605</v>
      </c>
      <c r="S210" s="60" t="s">
        <v>4606</v>
      </c>
      <c r="T210" s="60" t="s">
        <v>4607</v>
      </c>
      <c r="U210" s="60" t="s">
        <v>4608</v>
      </c>
      <c r="V210" s="61" t="s">
        <v>4609</v>
      </c>
      <c r="W210" s="60" t="s">
        <v>4610</v>
      </c>
      <c r="X210" s="60" t="s">
        <v>4611</v>
      </c>
      <c r="Y210" s="60" t="s">
        <v>4612</v>
      </c>
      <c r="Z210" s="60" t="s">
        <v>4613</v>
      </c>
      <c r="AA210" s="60" t="s">
        <v>4614</v>
      </c>
      <c r="AB210" s="62" t="s">
        <v>4615</v>
      </c>
    </row>
    <row r="211" spans="1:28" x14ac:dyDescent="0.3">
      <c r="A211" s="85" t="s">
        <v>4616</v>
      </c>
      <c r="B211" s="39" t="str">
        <f t="shared" si="14"/>
        <v>Kérjük, töltse ki az összes kategóriát egész számokkal (0 vagy magasabb)!</v>
      </c>
      <c r="D211" s="59" t="s">
        <v>4617</v>
      </c>
      <c r="E211" s="60" t="s">
        <v>4618</v>
      </c>
      <c r="F211" s="61" t="s">
        <v>4619</v>
      </c>
      <c r="G211" s="61" t="s">
        <v>4620</v>
      </c>
      <c r="H211" s="60" t="s">
        <v>4621</v>
      </c>
      <c r="I211" s="77" t="s">
        <v>4622</v>
      </c>
      <c r="J211" s="60" t="s">
        <v>4623</v>
      </c>
      <c r="K211" s="60" t="s">
        <v>4624</v>
      </c>
      <c r="L211" s="60" t="s">
        <v>4625</v>
      </c>
      <c r="M211" s="60" t="s">
        <v>4626</v>
      </c>
      <c r="N211" s="60"/>
      <c r="O211" s="60" t="s">
        <v>4627</v>
      </c>
      <c r="P211" s="60" t="s">
        <v>4628</v>
      </c>
      <c r="Q211" s="60" t="s">
        <v>4629</v>
      </c>
      <c r="R211" s="60" t="s">
        <v>4630</v>
      </c>
      <c r="S211" s="60" t="s">
        <v>4631</v>
      </c>
      <c r="T211" s="60" t="s">
        <v>4632</v>
      </c>
      <c r="U211" s="60" t="s">
        <v>4633</v>
      </c>
      <c r="V211" s="61" t="s">
        <v>4634</v>
      </c>
      <c r="W211" s="60" t="s">
        <v>4635</v>
      </c>
      <c r="X211" s="60" t="s">
        <v>4636</v>
      </c>
      <c r="Y211" s="60" t="s">
        <v>4637</v>
      </c>
      <c r="Z211" s="60" t="s">
        <v>4638</v>
      </c>
      <c r="AA211" s="60" t="s">
        <v>4639</v>
      </c>
      <c r="AB211" s="62" t="s">
        <v>4640</v>
      </c>
    </row>
    <row r="212" spans="1:28" x14ac:dyDescent="0.3">
      <c r="A212" s="85" t="s">
        <v>4641</v>
      </c>
      <c r="B212" s="39" t="str">
        <f t="shared" si="14"/>
        <v>Tüntesse fel, hogy a projekt az irányelv hatálya alá tartozik-e vagy sem.</v>
      </c>
      <c r="D212" s="59" t="s">
        <v>4642</v>
      </c>
      <c r="E212" s="60" t="s">
        <v>4643</v>
      </c>
      <c r="F212" s="61" t="s">
        <v>4644</v>
      </c>
      <c r="G212" s="61" t="s">
        <v>4645</v>
      </c>
      <c r="H212" s="60" t="s">
        <v>4646</v>
      </c>
      <c r="I212" s="77" t="s">
        <v>4647</v>
      </c>
      <c r="J212" s="60" t="s">
        <v>4648</v>
      </c>
      <c r="K212" s="60" t="s">
        <v>4649</v>
      </c>
      <c r="L212" s="60" t="s">
        <v>4650</v>
      </c>
      <c r="M212" s="60" t="s">
        <v>4651</v>
      </c>
      <c r="N212" s="60"/>
      <c r="O212" s="60" t="s">
        <v>4652</v>
      </c>
      <c r="P212" s="60" t="s">
        <v>4653</v>
      </c>
      <c r="Q212" s="60" t="s">
        <v>4654</v>
      </c>
      <c r="R212" s="60" t="s">
        <v>4655</v>
      </c>
      <c r="S212" s="60" t="s">
        <v>4656</v>
      </c>
      <c r="T212" s="60" t="s">
        <v>4657</v>
      </c>
      <c r="U212" s="60" t="s">
        <v>4658</v>
      </c>
      <c r="V212" s="61" t="s">
        <v>4659</v>
      </c>
      <c r="W212" s="60" t="s">
        <v>4660</v>
      </c>
      <c r="X212" s="60" t="s">
        <v>4661</v>
      </c>
      <c r="Y212" s="60" t="s">
        <v>4662</v>
      </c>
      <c r="Z212" s="60" t="s">
        <v>4663</v>
      </c>
      <c r="AA212" s="60" t="s">
        <v>4664</v>
      </c>
      <c r="AB212" s="62" t="s">
        <v>4665</v>
      </c>
    </row>
    <row r="213" spans="1:28" x14ac:dyDescent="0.3">
      <c r="A213" s="85" t="s">
        <v>4666</v>
      </c>
      <c r="B213" s="39" t="str">
        <f t="shared" si="14"/>
        <v>A Betegségek Nemzetközi Osztályozási Rendszerében (BNO) használt kód.</v>
      </c>
      <c r="D213" s="59" t="s">
        <v>4667</v>
      </c>
      <c r="E213" s="60" t="s">
        <v>4668</v>
      </c>
      <c r="F213" s="61" t="s">
        <v>4669</v>
      </c>
      <c r="G213" s="61" t="s">
        <v>4670</v>
      </c>
      <c r="H213" s="60" t="s">
        <v>4671</v>
      </c>
      <c r="I213" s="77" t="s">
        <v>4672</v>
      </c>
      <c r="J213" s="60" t="s">
        <v>4673</v>
      </c>
      <c r="K213" s="60" t="s">
        <v>4674</v>
      </c>
      <c r="L213" s="60" t="s">
        <v>4675</v>
      </c>
      <c r="M213" s="60" t="s">
        <v>4676</v>
      </c>
      <c r="N213" s="60"/>
      <c r="O213" s="60" t="s">
        <v>4677</v>
      </c>
      <c r="P213" s="60" t="s">
        <v>4678</v>
      </c>
      <c r="Q213" s="60" t="s">
        <v>4679</v>
      </c>
      <c r="R213" s="60" t="s">
        <v>4680</v>
      </c>
      <c r="S213" s="60" t="s">
        <v>4681</v>
      </c>
      <c r="T213" s="60" t="s">
        <v>4682</v>
      </c>
      <c r="U213" s="60" t="s">
        <v>4683</v>
      </c>
      <c r="V213" s="61" t="s">
        <v>4684</v>
      </c>
      <c r="W213" s="60" t="s">
        <v>4685</v>
      </c>
      <c r="X213" s="60" t="s">
        <v>4686</v>
      </c>
      <c r="Y213" s="60" t="s">
        <v>4687</v>
      </c>
      <c r="Z213" s="60" t="s">
        <v>4688</v>
      </c>
      <c r="AA213" s="60" t="s">
        <v>4689</v>
      </c>
      <c r="AB213" s="62" t="s">
        <v>4690</v>
      </c>
    </row>
    <row r="214" spans="1:28" x14ac:dyDescent="0.3">
      <c r="A214" s="85" t="s">
        <v>4691</v>
      </c>
      <c r="B214" s="39" t="str">
        <f t="shared" si="14"/>
        <v>4 karakterből álló pontosságáig.</v>
      </c>
      <c r="D214" s="59" t="s">
        <v>4692</v>
      </c>
      <c r="E214" s="60" t="s">
        <v>4693</v>
      </c>
      <c r="F214" s="61" t="s">
        <v>4694</v>
      </c>
      <c r="G214" s="61" t="s">
        <v>4695</v>
      </c>
      <c r="H214" s="60" t="s">
        <v>4696</v>
      </c>
      <c r="I214" s="77" t="s">
        <v>4697</v>
      </c>
      <c r="J214" s="60" t="s">
        <v>4698</v>
      </c>
      <c r="K214" s="60" t="s">
        <v>4699</v>
      </c>
      <c r="L214" s="60" t="s">
        <v>4700</v>
      </c>
      <c r="M214" s="60" t="s">
        <v>4701</v>
      </c>
      <c r="N214" s="60"/>
      <c r="O214" s="60" t="s">
        <v>4702</v>
      </c>
      <c r="P214" s="60" t="s">
        <v>4703</v>
      </c>
      <c r="Q214" s="60" t="s">
        <v>4704</v>
      </c>
      <c r="R214" s="60" t="s">
        <v>4705</v>
      </c>
      <c r="S214" s="60" t="s">
        <v>4706</v>
      </c>
      <c r="T214" s="60" t="s">
        <v>4707</v>
      </c>
      <c r="U214" s="60" t="s">
        <v>4708</v>
      </c>
      <c r="V214" s="61" t="s">
        <v>4709</v>
      </c>
      <c r="W214" s="60" t="s">
        <v>4710</v>
      </c>
      <c r="X214" s="60" t="s">
        <v>4711</v>
      </c>
      <c r="Y214" s="60" t="s">
        <v>4712</v>
      </c>
      <c r="Z214" s="60" t="s">
        <v>4713</v>
      </c>
      <c r="AA214" s="60" t="s">
        <v>4714</v>
      </c>
      <c r="AB214" s="62" t="s">
        <v>4715</v>
      </c>
    </row>
    <row r="215" spans="1:28" x14ac:dyDescent="0.3">
      <c r="A215" s="85" t="s">
        <v>4716</v>
      </c>
      <c r="B215" s="39" t="str">
        <f t="shared" si="14"/>
        <v>Link a nem szakmai projekt-összefoglalónak – az Európai Bizottság rendszerében nem szereplő – előző verziójához</v>
      </c>
      <c r="D215" s="59" t="s">
        <v>4717</v>
      </c>
      <c r="E215" s="60" t="s">
        <v>4718</v>
      </c>
      <c r="F215" s="61" t="s">
        <v>4719</v>
      </c>
      <c r="G215" s="61" t="s">
        <v>4720</v>
      </c>
      <c r="H215" s="60" t="s">
        <v>4721</v>
      </c>
      <c r="I215" s="77" t="s">
        <v>4722</v>
      </c>
      <c r="J215" s="60" t="s">
        <v>4723</v>
      </c>
      <c r="K215" s="60" t="s">
        <v>4724</v>
      </c>
      <c r="L215" s="60" t="s">
        <v>4725</v>
      </c>
      <c r="M215" s="60" t="s">
        <v>4726</v>
      </c>
      <c r="N215" s="60"/>
      <c r="O215" s="60" t="s">
        <v>4727</v>
      </c>
      <c r="P215" s="60" t="s">
        <v>4728</v>
      </c>
      <c r="Q215" s="60" t="s">
        <v>4729</v>
      </c>
      <c r="R215" s="60" t="s">
        <v>4730</v>
      </c>
      <c r="S215" s="60" t="s">
        <v>4731</v>
      </c>
      <c r="T215" s="60" t="s">
        <v>4732</v>
      </c>
      <c r="U215" s="60" t="s">
        <v>4733</v>
      </c>
      <c r="V215" s="61" t="s">
        <v>4734</v>
      </c>
      <c r="W215" s="60" t="s">
        <v>4735</v>
      </c>
      <c r="X215" s="60" t="s">
        <v>4736</v>
      </c>
      <c r="Y215" s="60" t="s">
        <v>4737</v>
      </c>
      <c r="Z215" s="60" t="s">
        <v>4738</v>
      </c>
      <c r="AA215" s="60" t="s">
        <v>4739</v>
      </c>
      <c r="AB215" s="62" t="s">
        <v>4740</v>
      </c>
    </row>
    <row r="216" spans="1:28" x14ac:dyDescent="0.3">
      <c r="A216" s="85" t="s">
        <v>4741</v>
      </c>
      <c r="B216" s="39" t="str">
        <f t="shared" si="14"/>
        <v>Átmeneti időszakban alkalmazandó abban az esetben, ha a nem szakmai projekt-összefoglaló előző verziója még nem szerepel az Európai Bizottság rendszerében.</v>
      </c>
      <c r="D216" s="59" t="s">
        <v>4742</v>
      </c>
      <c r="E216" s="60" t="s">
        <v>4743</v>
      </c>
      <c r="F216" s="61" t="s">
        <v>4744</v>
      </c>
      <c r="G216" s="61" t="s">
        <v>4745</v>
      </c>
      <c r="H216" s="60" t="s">
        <v>4746</v>
      </c>
      <c r="I216" s="77" t="s">
        <v>4747</v>
      </c>
      <c r="J216" s="60" t="s">
        <v>4748</v>
      </c>
      <c r="K216" s="60" t="s">
        <v>4749</v>
      </c>
      <c r="L216" s="60" t="s">
        <v>4750</v>
      </c>
      <c r="M216" s="60" t="s">
        <v>4751</v>
      </c>
      <c r="N216" s="60"/>
      <c r="O216" s="60" t="s">
        <v>4752</v>
      </c>
      <c r="P216" s="60" t="s">
        <v>4753</v>
      </c>
      <c r="Q216" s="60" t="s">
        <v>4754</v>
      </c>
      <c r="R216" s="60" t="s">
        <v>4755</v>
      </c>
      <c r="S216" s="60" t="s">
        <v>4756</v>
      </c>
      <c r="T216" s="60" t="s">
        <v>4757</v>
      </c>
      <c r="U216" s="60" t="s">
        <v>4758</v>
      </c>
      <c r="V216" s="61" t="s">
        <v>4759</v>
      </c>
      <c r="W216" s="60" t="s">
        <v>4760</v>
      </c>
      <c r="X216" s="60" t="s">
        <v>4761</v>
      </c>
      <c r="Y216" s="60" t="s">
        <v>4762</v>
      </c>
      <c r="Z216" s="60" t="s">
        <v>4763</v>
      </c>
      <c r="AA216" s="60" t="s">
        <v>4764</v>
      </c>
      <c r="AB216" s="62" t="s">
        <v>4765</v>
      </c>
    </row>
    <row r="217" spans="1:28" x14ac:dyDescent="0.3">
      <c r="A217" s="85" t="s">
        <v>4766</v>
      </c>
      <c r="B217" s="39" t="str">
        <f t="shared" si="14"/>
        <v>A nem szakmai projekt-összefoglaló azonosítója</v>
      </c>
      <c r="D217" s="59" t="s">
        <v>4767</v>
      </c>
      <c r="E217" s="60" t="s">
        <v>4768</v>
      </c>
      <c r="F217" s="61" t="s">
        <v>4769</v>
      </c>
      <c r="G217" s="61" t="s">
        <v>4770</v>
      </c>
      <c r="H217" s="60" t="s">
        <v>4771</v>
      </c>
      <c r="I217" s="77" t="s">
        <v>4772</v>
      </c>
      <c r="J217" s="60" t="s">
        <v>4773</v>
      </c>
      <c r="K217" s="60" t="s">
        <v>4774</v>
      </c>
      <c r="L217" s="60" t="s">
        <v>4775</v>
      </c>
      <c r="M217" s="60" t="s">
        <v>4776</v>
      </c>
      <c r="N217" s="60"/>
      <c r="O217" s="60" t="s">
        <v>4777</v>
      </c>
      <c r="P217" s="60" t="s">
        <v>4778</v>
      </c>
      <c r="Q217" s="60" t="s">
        <v>4779</v>
      </c>
      <c r="R217" s="60" t="s">
        <v>4780</v>
      </c>
      <c r="S217" s="60" t="s">
        <v>4781</v>
      </c>
      <c r="T217" s="60" t="s">
        <v>4782</v>
      </c>
      <c r="U217" s="60" t="s">
        <v>4783</v>
      </c>
      <c r="V217" s="61" t="s">
        <v>4784</v>
      </c>
      <c r="W217" s="60" t="s">
        <v>4785</v>
      </c>
      <c r="X217" s="60" t="s">
        <v>4786</v>
      </c>
      <c r="Y217" s="60" t="s">
        <v>4787</v>
      </c>
      <c r="Z217" s="60" t="s">
        <v>4788</v>
      </c>
      <c r="AA217" s="60" t="s">
        <v>4789</v>
      </c>
      <c r="AB217" s="62" t="s">
        <v>4790</v>
      </c>
    </row>
    <row r="218" spans="1:28" x14ac:dyDescent="0.3">
      <c r="A218" s="85" t="s">
        <v>4791</v>
      </c>
      <c r="B218" s="39" t="str">
        <f t="shared" si="14"/>
        <v>A nem szakmai projekt-összefoglaló egyedi azonosítója az Európai Bizottság központi rendszerében.</v>
      </c>
      <c r="D218" s="59" t="s">
        <v>4792</v>
      </c>
      <c r="E218" s="60" t="s">
        <v>4793</v>
      </c>
      <c r="F218" s="86" t="s">
        <v>4794</v>
      </c>
      <c r="G218" s="61" t="s">
        <v>4795</v>
      </c>
      <c r="H218" s="60" t="s">
        <v>4796</v>
      </c>
      <c r="I218" s="77" t="s">
        <v>4797</v>
      </c>
      <c r="J218" s="60" t="s">
        <v>4798</v>
      </c>
      <c r="K218" s="60" t="s">
        <v>4799</v>
      </c>
      <c r="L218" s="60" t="s">
        <v>4800</v>
      </c>
      <c r="M218" s="60" t="s">
        <v>4801</v>
      </c>
      <c r="N218" s="60"/>
      <c r="O218" s="60" t="s">
        <v>4802</v>
      </c>
      <c r="P218" s="60" t="s">
        <v>4803</v>
      </c>
      <c r="Q218" s="60" t="s">
        <v>4804</v>
      </c>
      <c r="R218" s="60" t="s">
        <v>4805</v>
      </c>
      <c r="S218" s="60" t="s">
        <v>4806</v>
      </c>
      <c r="T218" s="60" t="s">
        <v>4807</v>
      </c>
      <c r="U218" s="60" t="s">
        <v>4808</v>
      </c>
      <c r="V218" s="61" t="s">
        <v>4809</v>
      </c>
      <c r="W218" s="60" t="s">
        <v>4810</v>
      </c>
      <c r="X218" s="60" t="s">
        <v>4811</v>
      </c>
      <c r="Y218" s="60" t="s">
        <v>4812</v>
      </c>
      <c r="Z218" s="60" t="s">
        <v>4813</v>
      </c>
      <c r="AA218" s="60" t="s">
        <v>4814</v>
      </c>
      <c r="AB218" s="62" t="s">
        <v>4815</v>
      </c>
    </row>
    <row r="219" spans="1:28" x14ac:dyDescent="0.3">
      <c r="A219" s="85" t="s">
        <v>4816</v>
      </c>
      <c r="B219" s="39" t="str">
        <f t="shared" si="14"/>
        <v>Csak akkor kell kitölteni, ha olyan nem szakmai projekt-összefoglalót frissítenek, amely már szerepel az Európai Bizottság rendszerében.</v>
      </c>
      <c r="D219" s="59" t="s">
        <v>4817</v>
      </c>
      <c r="E219" s="60" t="s">
        <v>4818</v>
      </c>
      <c r="F219" s="61" t="s">
        <v>4819</v>
      </c>
      <c r="G219" s="61" t="s">
        <v>4820</v>
      </c>
      <c r="H219" s="60" t="s">
        <v>4821</v>
      </c>
      <c r="I219" s="77" t="s">
        <v>4822</v>
      </c>
      <c r="J219" s="60" t="s">
        <v>4823</v>
      </c>
      <c r="K219" s="60" t="s">
        <v>4824</v>
      </c>
      <c r="L219" s="60" t="s">
        <v>4825</v>
      </c>
      <c r="M219" s="60" t="s">
        <v>4826</v>
      </c>
      <c r="N219" s="60"/>
      <c r="O219" s="60" t="s">
        <v>4827</v>
      </c>
      <c r="P219" s="60" t="s">
        <v>4828</v>
      </c>
      <c r="Q219" s="60" t="s">
        <v>4829</v>
      </c>
      <c r="R219" s="60" t="s">
        <v>4830</v>
      </c>
      <c r="S219" s="60" t="s">
        <v>4831</v>
      </c>
      <c r="T219" s="60" t="s">
        <v>4832</v>
      </c>
      <c r="U219" s="60" t="s">
        <v>4833</v>
      </c>
      <c r="V219" s="61" t="s">
        <v>4834</v>
      </c>
      <c r="W219" s="60" t="s">
        <v>4835</v>
      </c>
      <c r="X219" s="60" t="s">
        <v>4836</v>
      </c>
      <c r="Y219" s="60" t="s">
        <v>4837</v>
      </c>
      <c r="Z219" s="60" t="s">
        <v>4838</v>
      </c>
      <c r="AA219" s="60" t="s">
        <v>4839</v>
      </c>
      <c r="AB219" s="62" t="s">
        <v>4840</v>
      </c>
    </row>
    <row r="220" spans="1:28" x14ac:dyDescent="0.3">
      <c r="A220" s="85" t="s">
        <v>4841</v>
      </c>
      <c r="B220" s="39" t="str">
        <f t="shared" si="14"/>
        <v>A tagállam besorolása szerinti súlyosság</v>
      </c>
      <c r="D220" s="59" t="s">
        <v>4842</v>
      </c>
      <c r="E220" s="60" t="s">
        <v>4843</v>
      </c>
      <c r="F220" s="61" t="s">
        <v>4844</v>
      </c>
      <c r="G220" s="61" t="s">
        <v>4845</v>
      </c>
      <c r="H220" s="60" t="s">
        <v>4846</v>
      </c>
      <c r="I220" s="77" t="s">
        <v>4847</v>
      </c>
      <c r="J220" s="60" t="s">
        <v>4848</v>
      </c>
      <c r="K220" s="60" t="s">
        <v>4849</v>
      </c>
      <c r="L220" s="60" t="s">
        <v>4850</v>
      </c>
      <c r="M220" s="60" t="s">
        <v>4851</v>
      </c>
      <c r="N220" s="60"/>
      <c r="O220" s="60" t="s">
        <v>4852</v>
      </c>
      <c r="P220" s="60" t="s">
        <v>4853</v>
      </c>
      <c r="Q220" s="60" t="s">
        <v>4854</v>
      </c>
      <c r="R220" s="60" t="s">
        <v>4855</v>
      </c>
      <c r="S220" s="60" t="s">
        <v>4856</v>
      </c>
      <c r="T220" s="60" t="s">
        <v>4857</v>
      </c>
      <c r="U220" s="60" t="s">
        <v>4858</v>
      </c>
      <c r="V220" s="61" t="s">
        <v>4859</v>
      </c>
      <c r="W220" s="60" t="s">
        <v>4860</v>
      </c>
      <c r="X220" s="60" t="s">
        <v>4861</v>
      </c>
      <c r="Y220" s="60" t="s">
        <v>4862</v>
      </c>
      <c r="Z220" s="60" t="s">
        <v>4863</v>
      </c>
      <c r="AA220" s="60" t="s">
        <v>4864</v>
      </c>
      <c r="AB220" s="62" t="s">
        <v>4865</v>
      </c>
    </row>
    <row r="221" spans="1:28" x14ac:dyDescent="0.3">
      <c r="A221" s="85" t="s">
        <v>4866</v>
      </c>
      <c r="B221" s="39" t="str">
        <f t="shared" si="14"/>
        <v>A mezőt nem tesszük közzé.</v>
      </c>
      <c r="D221" s="59" t="s">
        <v>4867</v>
      </c>
      <c r="E221" s="60" t="s">
        <v>4868</v>
      </c>
      <c r="F221" s="61" t="s">
        <v>4869</v>
      </c>
      <c r="G221" s="61" t="s">
        <v>4870</v>
      </c>
      <c r="H221" s="60" t="s">
        <v>4871</v>
      </c>
      <c r="I221" s="77" t="s">
        <v>4872</v>
      </c>
      <c r="J221" s="60" t="s">
        <v>4873</v>
      </c>
      <c r="K221" s="60" t="s">
        <v>4874</v>
      </c>
      <c r="L221" s="60" t="s">
        <v>4875</v>
      </c>
      <c r="M221" s="60" t="s">
        <v>4876</v>
      </c>
      <c r="N221" s="60"/>
      <c r="O221" s="60" t="s">
        <v>4877</v>
      </c>
      <c r="P221" s="60" t="s">
        <v>4878</v>
      </c>
      <c r="Q221" s="60" t="s">
        <v>4879</v>
      </c>
      <c r="R221" s="60" t="s">
        <v>4880</v>
      </c>
      <c r="S221" s="60" t="s">
        <v>4881</v>
      </c>
      <c r="T221" s="60" t="s">
        <v>4882</v>
      </c>
      <c r="U221" s="60" t="s">
        <v>4883</v>
      </c>
      <c r="V221" s="61" t="s">
        <v>4884</v>
      </c>
      <c r="W221" s="60" t="s">
        <v>4885</v>
      </c>
      <c r="X221" s="60" t="s">
        <v>4886</v>
      </c>
      <c r="Y221" s="60" t="s">
        <v>4887</v>
      </c>
      <c r="Z221" s="60" t="s">
        <v>4888</v>
      </c>
      <c r="AA221" s="60" t="s">
        <v>4889</v>
      </c>
      <c r="AB221" s="62" t="s">
        <v>4890</v>
      </c>
    </row>
    <row r="222" spans="1:28" x14ac:dyDescent="0.3">
      <c r="B222" s="39" t="e">
        <f t="shared" si="14"/>
        <v>#N/A</v>
      </c>
      <c r="D222" s="72"/>
      <c r="E222" s="55"/>
      <c r="F222" s="55"/>
      <c r="G222" s="55"/>
      <c r="H222" s="55"/>
      <c r="I222" s="77"/>
      <c r="J222" s="55"/>
      <c r="K222" s="55"/>
      <c r="L222" s="55"/>
      <c r="M222" s="55"/>
      <c r="N222" s="55"/>
      <c r="O222" s="55"/>
      <c r="P222" s="55"/>
      <c r="Q222" s="55"/>
      <c r="R222" s="55"/>
      <c r="S222" s="55"/>
      <c r="T222" s="55"/>
      <c r="U222" s="55"/>
      <c r="V222" s="55"/>
      <c r="W222" s="55"/>
      <c r="X222" s="55"/>
      <c r="Y222" s="55"/>
      <c r="Z222" s="55"/>
      <c r="AA222" s="55"/>
      <c r="AB222" s="73"/>
    </row>
    <row r="223" spans="1:28" x14ac:dyDescent="0.3">
      <c r="B223" s="39" t="e">
        <f t="shared" si="14"/>
        <v>#N/A</v>
      </c>
      <c r="D223" s="72"/>
      <c r="E223" s="55"/>
      <c r="F223" s="55"/>
      <c r="G223" s="55"/>
      <c r="H223" s="55"/>
      <c r="I223" s="77"/>
      <c r="J223" s="55"/>
      <c r="K223" s="55"/>
      <c r="L223" s="55"/>
      <c r="M223" s="55"/>
      <c r="N223" s="55"/>
      <c r="O223" s="55"/>
      <c r="P223" s="55"/>
      <c r="Q223" s="55"/>
      <c r="R223" s="55"/>
      <c r="S223" s="55"/>
      <c r="T223" s="55"/>
      <c r="U223" s="55"/>
      <c r="V223" s="55"/>
      <c r="W223" s="55"/>
      <c r="X223" s="55"/>
      <c r="Y223" s="55"/>
      <c r="Z223" s="55"/>
      <c r="AA223" s="55"/>
      <c r="AB223" s="73"/>
    </row>
    <row r="224" spans="1:28" x14ac:dyDescent="0.3">
      <c r="B224" s="39" t="e">
        <f t="shared" si="14"/>
        <v>#N/A</v>
      </c>
      <c r="D224" s="72"/>
      <c r="E224" s="55"/>
      <c r="F224" s="55"/>
      <c r="G224" s="55"/>
      <c r="H224" s="55"/>
      <c r="I224" s="77"/>
      <c r="J224" s="55"/>
      <c r="K224" s="55"/>
      <c r="L224" s="55"/>
      <c r="M224" s="55"/>
      <c r="N224" s="55"/>
      <c r="O224" s="55"/>
      <c r="P224" s="55"/>
      <c r="Q224" s="55"/>
      <c r="R224" s="55"/>
      <c r="S224" s="55"/>
      <c r="T224" s="55"/>
      <c r="U224" s="55"/>
      <c r="V224" s="55"/>
      <c r="W224" s="55"/>
      <c r="X224" s="55"/>
      <c r="Y224" s="55"/>
      <c r="Z224" s="55"/>
      <c r="AA224" s="55"/>
      <c r="AB224" s="73"/>
    </row>
    <row r="225" spans="2:28" x14ac:dyDescent="0.3">
      <c r="B225" s="39" t="e">
        <f t="shared" si="14"/>
        <v>#N/A</v>
      </c>
      <c r="D225" s="74"/>
      <c r="E225" s="67"/>
      <c r="F225" s="67"/>
      <c r="G225" s="67"/>
      <c r="H225" s="67"/>
      <c r="I225" s="87"/>
      <c r="J225" s="67"/>
      <c r="K225" s="67"/>
      <c r="L225" s="67"/>
      <c r="M225" s="67"/>
      <c r="N225" s="67"/>
      <c r="O225" s="67"/>
      <c r="P225" s="67"/>
      <c r="Q225" s="67"/>
      <c r="R225" s="67"/>
      <c r="S225" s="67"/>
      <c r="T225" s="67"/>
      <c r="U225" s="67"/>
      <c r="V225" s="67"/>
      <c r="W225" s="67"/>
      <c r="X225" s="67"/>
      <c r="Y225" s="67"/>
      <c r="Z225" s="67"/>
      <c r="AA225" s="67"/>
      <c r="AB225" s="75"/>
    </row>
  </sheetData>
  <sheetProtection algorithmName="SHA-512" hashValue="vi3F4VATDBhZjhrodY6lRwLa90woKaNrfIeH9n9VphUOlgSuHu4D49WY8QJ78KGvlPLnrnl6vCb9larc/8+q+Q==" saltValue="Q+UPV/9zzyLBEaJW7BdMkA==" spinCount="100000" sheet="1" selectLockedCells="1"/>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MK38"/>
  <sheetViews>
    <sheetView zoomScaleNormal="100" workbookViewId="0"/>
  </sheetViews>
  <sheetFormatPr defaultRowHeight="14.4" x14ac:dyDescent="0.3"/>
  <cols>
    <col min="1" max="1" width="22.88671875" style="1" customWidth="1"/>
    <col min="2" max="2" width="26.33203125" style="1" customWidth="1"/>
    <col min="3" max="3" width="35.109375" style="1" customWidth="1"/>
    <col min="4" max="4" width="24.88671875" style="39" customWidth="1"/>
    <col min="5" max="1025" width="9" style="39" customWidth="1"/>
  </cols>
  <sheetData>
    <row r="2" spans="1:31" x14ac:dyDescent="0.3">
      <c r="A2" s="85" t="s">
        <v>4891</v>
      </c>
      <c r="B2" s="88" t="str">
        <f>IF(language="","en",language)</f>
        <v>hu</v>
      </c>
    </row>
    <row r="3" spans="1:31" x14ac:dyDescent="0.3">
      <c r="A3" s="85" t="s">
        <v>4892</v>
      </c>
      <c r="B3" s="89" t="str">
        <f>yes</f>
        <v>igen [1]</v>
      </c>
      <c r="C3" s="90" t="str">
        <f>no</f>
        <v>nem [0]</v>
      </c>
    </row>
    <row r="4" spans="1:31" x14ac:dyDescent="0.3">
      <c r="A4" s="85" t="s">
        <v>4893</v>
      </c>
      <c r="B4" s="89" t="str">
        <f>yes</f>
        <v>igen [1]</v>
      </c>
      <c r="C4" s="90" t="s">
        <v>1</v>
      </c>
    </row>
    <row r="5" spans="1:31" x14ac:dyDescent="0.3">
      <c r="A5" s="85" t="s">
        <v>4894</v>
      </c>
      <c r="B5" s="88">
        <v>1</v>
      </c>
      <c r="C5" s="91"/>
    </row>
    <row r="6" spans="1:31" x14ac:dyDescent="0.3">
      <c r="A6" s="85" t="s">
        <v>4895</v>
      </c>
      <c r="B6" s="88" t="str">
        <f>IF(NTS!B2="","",IF(VLOOKUP(NTS!B2,A11:B38,2)="yes","*",""))</f>
        <v/>
      </c>
      <c r="C6" s="91"/>
    </row>
    <row r="7" spans="1:31" x14ac:dyDescent="0.3">
      <c r="A7" s="85" t="s">
        <v>4896</v>
      </c>
      <c r="B7" s="88" t="str">
        <f>IF(NTS!B2="","",IF(VLOOKUP(NTS!B2,A11:C38,3)="yes","*",""))</f>
        <v/>
      </c>
      <c r="C7" s="91"/>
    </row>
    <row r="8" spans="1:31" x14ac:dyDescent="0.3">
      <c r="A8" s="85" t="s">
        <v>4897</v>
      </c>
      <c r="B8" s="88" t="str">
        <f>IF(NTS!B2="","",IF(VLOOKUP(NTS!B2,A11:D38,4)="yes","*",""))</f>
        <v/>
      </c>
      <c r="C8" s="91"/>
    </row>
    <row r="9" spans="1:31" x14ac:dyDescent="0.3">
      <c r="A9" s="12"/>
      <c r="B9" s="91"/>
      <c r="C9" s="91"/>
    </row>
    <row r="10" spans="1:31" x14ac:dyDescent="0.3">
      <c r="A10" s="85" t="s">
        <v>4898</v>
      </c>
      <c r="B10" s="91" t="s">
        <v>4899</v>
      </c>
      <c r="C10" s="91" t="s">
        <v>4900</v>
      </c>
      <c r="D10" s="39" t="s">
        <v>4901</v>
      </c>
    </row>
    <row r="11" spans="1:31" x14ac:dyDescent="0.3">
      <c r="A11" s="51" t="s">
        <v>4902</v>
      </c>
      <c r="B11" s="92" t="s">
        <v>1227</v>
      </c>
      <c r="C11" s="93"/>
      <c r="D11" s="94"/>
    </row>
    <row r="12" spans="1:31" x14ac:dyDescent="0.3">
      <c r="A12" s="51" t="s">
        <v>4903</v>
      </c>
      <c r="B12" s="95" t="s">
        <v>1227</v>
      </c>
      <c r="C12" s="91"/>
      <c r="D12" s="73"/>
    </row>
    <row r="13" spans="1:31" x14ac:dyDescent="0.3">
      <c r="A13" s="51" t="s">
        <v>4904</v>
      </c>
      <c r="B13" s="95" t="s">
        <v>1227</v>
      </c>
      <c r="C13" s="91"/>
      <c r="D13" s="73"/>
    </row>
    <row r="14" spans="1:31" x14ac:dyDescent="0.3">
      <c r="A14" s="51" t="s">
        <v>4905</v>
      </c>
      <c r="B14" s="95" t="s">
        <v>1227</v>
      </c>
      <c r="C14" s="91"/>
      <c r="D14" s="73"/>
    </row>
    <row r="15" spans="1:31" x14ac:dyDescent="0.3">
      <c r="A15" s="51" t="s">
        <v>4906</v>
      </c>
      <c r="B15" s="95"/>
      <c r="C15" s="91"/>
      <c r="D15" s="73"/>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row>
    <row r="16" spans="1:31" x14ac:dyDescent="0.3">
      <c r="A16" s="51" t="s">
        <v>4907</v>
      </c>
      <c r="B16" s="95"/>
      <c r="C16" s="91"/>
      <c r="D16" s="73"/>
    </row>
    <row r="17" spans="1:4" x14ac:dyDescent="0.3">
      <c r="A17" s="51" t="s">
        <v>4908</v>
      </c>
      <c r="B17" s="95" t="s">
        <v>1227</v>
      </c>
      <c r="C17" s="91"/>
      <c r="D17" s="73"/>
    </row>
    <row r="18" spans="1:4" x14ac:dyDescent="0.3">
      <c r="A18" s="51" t="s">
        <v>4909</v>
      </c>
      <c r="B18" s="95"/>
      <c r="C18" s="91"/>
      <c r="D18" s="73"/>
    </row>
    <row r="19" spans="1:4" x14ac:dyDescent="0.3">
      <c r="A19" s="51" t="s">
        <v>4910</v>
      </c>
      <c r="B19" s="95" t="s">
        <v>1227</v>
      </c>
      <c r="C19" s="91"/>
      <c r="D19" s="73"/>
    </row>
    <row r="20" spans="1:4" x14ac:dyDescent="0.3">
      <c r="A20" s="51" t="s">
        <v>4911</v>
      </c>
      <c r="B20" s="95"/>
      <c r="C20" s="91"/>
      <c r="D20" s="73"/>
    </row>
    <row r="21" spans="1:4" x14ac:dyDescent="0.3">
      <c r="A21" s="51" t="s">
        <v>4912</v>
      </c>
      <c r="B21" s="95" t="s">
        <v>1227</v>
      </c>
      <c r="C21" s="91"/>
      <c r="D21" s="73"/>
    </row>
    <row r="22" spans="1:4" x14ac:dyDescent="0.3">
      <c r="A22" s="51" t="s">
        <v>4913</v>
      </c>
      <c r="B22" s="95"/>
      <c r="C22" s="91"/>
      <c r="D22" s="73"/>
    </row>
    <row r="23" spans="1:4" x14ac:dyDescent="0.3">
      <c r="A23" s="51" t="s">
        <v>4914</v>
      </c>
      <c r="B23" s="95" t="s">
        <v>1227</v>
      </c>
      <c r="C23" s="91"/>
      <c r="D23" s="73"/>
    </row>
    <row r="24" spans="1:4" x14ac:dyDescent="0.3">
      <c r="A24" s="51" t="s">
        <v>4915</v>
      </c>
      <c r="B24" s="95"/>
      <c r="C24" s="91"/>
      <c r="D24" s="73"/>
    </row>
    <row r="25" spans="1:4" x14ac:dyDescent="0.3">
      <c r="A25" s="51" t="s">
        <v>4916</v>
      </c>
      <c r="B25" s="95"/>
      <c r="C25" s="91"/>
      <c r="D25" s="73"/>
    </row>
    <row r="26" spans="1:4" x14ac:dyDescent="0.3">
      <c r="A26" s="51" t="s">
        <v>4917</v>
      </c>
      <c r="B26" s="95"/>
      <c r="C26" s="91"/>
      <c r="D26" s="73"/>
    </row>
    <row r="27" spans="1:4" x14ac:dyDescent="0.3">
      <c r="A27" s="51" t="s">
        <v>4918</v>
      </c>
      <c r="B27" s="95" t="s">
        <v>1227</v>
      </c>
      <c r="C27" s="91"/>
      <c r="D27" s="73"/>
    </row>
    <row r="28" spans="1:4" x14ac:dyDescent="0.3">
      <c r="A28" s="51" t="s">
        <v>4919</v>
      </c>
      <c r="B28" s="95"/>
      <c r="C28" s="91"/>
      <c r="D28" s="73"/>
    </row>
    <row r="29" spans="1:4" x14ac:dyDescent="0.3">
      <c r="A29" s="51" t="s">
        <v>4920</v>
      </c>
      <c r="B29" s="95"/>
      <c r="C29" s="91"/>
      <c r="D29" s="73"/>
    </row>
    <row r="30" spans="1:4" x14ac:dyDescent="0.3">
      <c r="A30" s="51" t="s">
        <v>4921</v>
      </c>
      <c r="B30" s="95" t="s">
        <v>1227</v>
      </c>
      <c r="C30" s="91"/>
      <c r="D30" s="73"/>
    </row>
    <row r="31" spans="1:4" x14ac:dyDescent="0.3">
      <c r="A31" s="51" t="s">
        <v>4922</v>
      </c>
      <c r="B31" s="95" t="s">
        <v>1227</v>
      </c>
      <c r="C31" s="91"/>
      <c r="D31" s="73"/>
    </row>
    <row r="32" spans="1:4" x14ac:dyDescent="0.3">
      <c r="A32" s="51" t="s">
        <v>4923</v>
      </c>
      <c r="B32" s="95" t="s">
        <v>1227</v>
      </c>
      <c r="C32" s="91"/>
      <c r="D32" s="73"/>
    </row>
    <row r="33" spans="1:4" x14ac:dyDescent="0.3">
      <c r="A33" s="51" t="s">
        <v>105</v>
      </c>
      <c r="B33" s="95" t="s">
        <v>1227</v>
      </c>
      <c r="C33" s="91"/>
      <c r="D33" s="73"/>
    </row>
    <row r="34" spans="1:4" x14ac:dyDescent="0.3">
      <c r="A34" s="51" t="s">
        <v>4924</v>
      </c>
      <c r="B34" s="95" t="s">
        <v>1227</v>
      </c>
      <c r="C34" s="91"/>
      <c r="D34" s="73"/>
    </row>
    <row r="35" spans="1:4" x14ac:dyDescent="0.3">
      <c r="A35" s="51" t="s">
        <v>4925</v>
      </c>
      <c r="B35" s="95" t="s">
        <v>1227</v>
      </c>
      <c r="C35" s="91"/>
      <c r="D35" s="73"/>
    </row>
    <row r="36" spans="1:4" x14ac:dyDescent="0.3">
      <c r="A36" s="51" t="s">
        <v>4926</v>
      </c>
      <c r="B36" s="95" t="s">
        <v>1227</v>
      </c>
      <c r="C36" s="91"/>
      <c r="D36" s="73"/>
    </row>
    <row r="37" spans="1:4" x14ac:dyDescent="0.3">
      <c r="A37" s="51" t="s">
        <v>4927</v>
      </c>
      <c r="B37" s="95" t="s">
        <v>1227</v>
      </c>
      <c r="C37" s="91"/>
      <c r="D37" s="73"/>
    </row>
    <row r="38" spans="1:4" x14ac:dyDescent="0.3">
      <c r="A38" s="51" t="s">
        <v>4928</v>
      </c>
      <c r="B38" s="96"/>
      <c r="C38" s="97"/>
      <c r="D38" s="75"/>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formula2>0</formula2>
    </dataValidation>
  </dataValidation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141</vt:i4>
      </vt:variant>
    </vt:vector>
  </HeadingPairs>
  <TitlesOfParts>
    <vt:vector size="147" baseType="lpstr">
      <vt:lpstr>NTS</vt:lpstr>
      <vt:lpstr>Purpose of the project</vt:lpstr>
      <vt:lpstr>Expected harms</vt:lpstr>
      <vt:lpstr>Fate of animals kept alive</vt:lpstr>
      <vt:lpstr>Translations</vt:lpstr>
      <vt:lpstr>Configuration</vt:lpstr>
      <vt:lpstr>NTS!_FilterDatabase</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dmarijancic</dc:creator>
  <dc:description/>
  <cp:lastModifiedBy>Dr. Kovács-Weber Mária</cp:lastModifiedBy>
  <cp:revision>0</cp:revision>
  <dcterms:created xsi:type="dcterms:W3CDTF">2020-03-26T19:58:53Z</dcterms:created>
  <dcterms:modified xsi:type="dcterms:W3CDTF">2022-02-22T19:49:39Z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